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esktop\"/>
    </mc:Choice>
  </mc:AlternateContent>
  <xr:revisionPtr revIDLastSave="0" documentId="13_ncr:1_{7BBA8A70-2595-4D08-B9CA-354C22C93AD8}" xr6:coauthVersionLast="47" xr6:coauthVersionMax="47" xr10:uidLastSave="{00000000-0000-0000-0000-000000000000}"/>
  <bookViews>
    <workbookView xWindow="28680" yWindow="-120" windowWidth="29040" windowHeight="16440" xr2:uid="{3500C2AB-C3C7-4FD6-9837-F2290C1EE1A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3" i="1" l="1"/>
  <c r="F344" i="1"/>
  <c r="F335" i="1"/>
  <c r="F334" i="1"/>
  <c r="F336" i="1"/>
  <c r="F337" i="1" s="1"/>
  <c r="F338" i="1" s="1"/>
  <c r="F339" i="1" s="1"/>
  <c r="F340" i="1" s="1"/>
  <c r="F341" i="1" s="1"/>
  <c r="F342" i="1" s="1"/>
  <c r="F343" i="1" s="1"/>
  <c r="C333" i="1"/>
  <c r="L332" i="1"/>
  <c r="L331" i="1"/>
  <c r="L330" i="1"/>
  <c r="L329" i="1"/>
  <c r="L328" i="1"/>
  <c r="L327" i="1"/>
  <c r="L326" i="1"/>
  <c r="L325" i="1"/>
  <c r="L324" i="1"/>
  <c r="L323" i="1"/>
  <c r="L322" i="1"/>
  <c r="G279" i="1"/>
  <c r="H279" i="1" s="1"/>
  <c r="J279" i="1" s="1"/>
  <c r="E322" i="1"/>
  <c r="F307" i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C290" i="1"/>
  <c r="J245" i="1"/>
  <c r="K280" i="1"/>
  <c r="K281" i="1"/>
  <c r="K282" i="1"/>
  <c r="K283" i="1"/>
  <c r="K284" i="1"/>
  <c r="K285" i="1"/>
  <c r="K286" i="1"/>
  <c r="K287" i="1"/>
  <c r="K288" i="1"/>
  <c r="K289" i="1"/>
  <c r="K279" i="1"/>
  <c r="F279" i="1"/>
  <c r="F221" i="1"/>
  <c r="C271" i="1"/>
  <c r="E261" i="1"/>
  <c r="E262" i="1"/>
  <c r="E263" i="1"/>
  <c r="E264" i="1"/>
  <c r="E265" i="1"/>
  <c r="E266" i="1"/>
  <c r="E267" i="1"/>
  <c r="E268" i="1"/>
  <c r="E269" i="1"/>
  <c r="E270" i="1"/>
  <c r="E260" i="1"/>
  <c r="J244" i="1"/>
  <c r="J243" i="1"/>
  <c r="J242" i="1"/>
  <c r="J241" i="1"/>
  <c r="J240" i="1"/>
  <c r="J239" i="1"/>
  <c r="J238" i="1"/>
  <c r="J237" i="1"/>
  <c r="J236" i="1"/>
  <c r="J235" i="1"/>
  <c r="F222" i="1"/>
  <c r="F223" i="1" s="1"/>
  <c r="F224" i="1" s="1"/>
  <c r="F225" i="1" s="1"/>
  <c r="F226" i="1" s="1"/>
  <c r="F227" i="1" s="1"/>
  <c r="F228" i="1" s="1"/>
  <c r="F229" i="1" s="1"/>
  <c r="F230" i="1" s="1"/>
  <c r="F231" i="1" s="1"/>
  <c r="F235" i="1"/>
  <c r="G235" i="1" s="1"/>
  <c r="I235" i="1" s="1"/>
  <c r="F198" i="1"/>
  <c r="F199" i="1"/>
  <c r="F200" i="1" s="1"/>
  <c r="F201" i="1" s="1"/>
  <c r="F202" i="1" s="1"/>
  <c r="F203" i="1" s="1"/>
  <c r="F204" i="1" s="1"/>
  <c r="F205" i="1" s="1"/>
  <c r="F206" i="1" s="1"/>
  <c r="F207" i="1" s="1"/>
  <c r="F208" i="1" s="1"/>
  <c r="C222" i="1"/>
  <c r="E211" i="1"/>
  <c r="G212" i="1"/>
  <c r="I212" i="1" s="1"/>
  <c r="G211" i="1"/>
  <c r="I211" i="1" s="1"/>
  <c r="J220" i="1"/>
  <c r="I220" i="1"/>
  <c r="J219" i="1"/>
  <c r="I219" i="1"/>
  <c r="J218" i="1"/>
  <c r="J217" i="1"/>
  <c r="J216" i="1"/>
  <c r="J215" i="1"/>
  <c r="J214" i="1"/>
  <c r="J213" i="1"/>
  <c r="J212" i="1"/>
  <c r="J211" i="1"/>
  <c r="I189" i="1"/>
  <c r="I190" i="1"/>
  <c r="I191" i="1"/>
  <c r="I192" i="1"/>
  <c r="I193" i="1"/>
  <c r="I194" i="1"/>
  <c r="I195" i="1"/>
  <c r="I196" i="1"/>
  <c r="I197" i="1"/>
  <c r="I188" i="1"/>
  <c r="J188" i="1"/>
  <c r="H154" i="1"/>
  <c r="J197" i="1"/>
  <c r="J196" i="1"/>
  <c r="J195" i="1"/>
  <c r="J194" i="1"/>
  <c r="J193" i="1"/>
  <c r="J192" i="1"/>
  <c r="J191" i="1"/>
  <c r="J190" i="1"/>
  <c r="J189" i="1"/>
  <c r="J154" i="1"/>
  <c r="C199" i="1"/>
  <c r="E197" i="1"/>
  <c r="E188" i="1"/>
  <c r="E196" i="1"/>
  <c r="F167" i="1"/>
  <c r="G167" i="1" s="1"/>
  <c r="F117" i="1"/>
  <c r="G117" i="1" s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L103" i="1"/>
  <c r="K103" i="1"/>
  <c r="J155" i="1"/>
  <c r="J156" i="1"/>
  <c r="J157" i="1"/>
  <c r="J158" i="1"/>
  <c r="J159" i="1"/>
  <c r="J160" i="1"/>
  <c r="J161" i="1"/>
  <c r="J162" i="1"/>
  <c r="J163" i="1"/>
  <c r="H155" i="1"/>
  <c r="H156" i="1"/>
  <c r="H157" i="1"/>
  <c r="H158" i="1"/>
  <c r="H159" i="1"/>
  <c r="H160" i="1"/>
  <c r="H161" i="1"/>
  <c r="H162" i="1"/>
  <c r="H163" i="1"/>
  <c r="B128" i="1"/>
  <c r="J104" i="1"/>
  <c r="J105" i="1"/>
  <c r="J106" i="1"/>
  <c r="J107" i="1"/>
  <c r="J108" i="1"/>
  <c r="J109" i="1"/>
  <c r="J110" i="1"/>
  <c r="J111" i="1"/>
  <c r="J103" i="1"/>
  <c r="B236" i="1" s="1"/>
  <c r="F236" i="1" s="1"/>
  <c r="D128" i="1"/>
  <c r="D129" i="1" s="1"/>
  <c r="C128" i="1"/>
  <c r="C129" i="1" s="1"/>
  <c r="C130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B280" i="1" l="1"/>
  <c r="B281" i="1" s="1"/>
  <c r="B282" i="1" s="1"/>
  <c r="B323" i="1"/>
  <c r="B324" i="1" s="1"/>
  <c r="B325" i="1" s="1"/>
  <c r="L279" i="1"/>
  <c r="F247" i="1"/>
  <c r="K191" i="1"/>
  <c r="K190" i="1"/>
  <c r="K157" i="1"/>
  <c r="K161" i="1"/>
  <c r="K188" i="1"/>
  <c r="K154" i="1"/>
  <c r="K189" i="1"/>
  <c r="K197" i="1"/>
  <c r="K160" i="1"/>
  <c r="K158" i="1"/>
  <c r="K196" i="1"/>
  <c r="G129" i="1"/>
  <c r="K163" i="1"/>
  <c r="K155" i="1"/>
  <c r="K159" i="1"/>
  <c r="K195" i="1"/>
  <c r="K156" i="1"/>
  <c r="K162" i="1"/>
  <c r="K192" i="1"/>
  <c r="K194" i="1"/>
  <c r="K193" i="1"/>
  <c r="B212" i="1"/>
  <c r="E212" i="1" s="1"/>
  <c r="B237" i="1"/>
  <c r="B238" i="1" s="1"/>
  <c r="B239" i="1" s="1"/>
  <c r="G236" i="1"/>
  <c r="I236" i="1" s="1"/>
  <c r="K236" i="1" s="1"/>
  <c r="G128" i="1"/>
  <c r="K219" i="1"/>
  <c r="K220" i="1"/>
  <c r="K235" i="1"/>
  <c r="J118" i="1"/>
  <c r="J119" i="1" s="1"/>
  <c r="J120" i="1" s="1"/>
  <c r="J121" i="1" s="1"/>
  <c r="J122" i="1" s="1"/>
  <c r="J123" i="1" s="1"/>
  <c r="J124" i="1" s="1"/>
  <c r="J125" i="1" s="1"/>
  <c r="B168" i="1"/>
  <c r="G214" i="1"/>
  <c r="I214" i="1" s="1"/>
  <c r="K214" i="1" s="1"/>
  <c r="G213" i="1"/>
  <c r="I213" i="1" s="1"/>
  <c r="K213" i="1" s="1"/>
  <c r="E189" i="1"/>
  <c r="K212" i="1"/>
  <c r="K211" i="1"/>
  <c r="F129" i="1"/>
  <c r="F128" i="1"/>
  <c r="F104" i="1"/>
  <c r="G104" i="1" s="1"/>
  <c r="F103" i="1"/>
  <c r="G103" i="1" s="1"/>
  <c r="F102" i="1"/>
  <c r="C71" i="1"/>
  <c r="F94" i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60" i="1"/>
  <c r="G60" i="1" s="1"/>
  <c r="G281" i="1" l="1"/>
  <c r="H281" i="1" s="1"/>
  <c r="J281" i="1" s="1"/>
  <c r="L281" i="1" s="1"/>
  <c r="F281" i="1"/>
  <c r="E323" i="1"/>
  <c r="G280" i="1"/>
  <c r="H280" i="1" s="1"/>
  <c r="J280" i="1" s="1"/>
  <c r="E324" i="1"/>
  <c r="F280" i="1"/>
  <c r="B326" i="1"/>
  <c r="E325" i="1"/>
  <c r="B283" i="1"/>
  <c r="F282" i="1"/>
  <c r="G282" i="1"/>
  <c r="H282" i="1" s="1"/>
  <c r="J282" i="1" s="1"/>
  <c r="L282" i="1" s="1"/>
  <c r="F238" i="1"/>
  <c r="G238" i="1" s="1"/>
  <c r="I238" i="1" s="1"/>
  <c r="K238" i="1" s="1"/>
  <c r="K166" i="1"/>
  <c r="J200" i="1"/>
  <c r="F237" i="1"/>
  <c r="F248" i="1" s="1"/>
  <c r="B213" i="1"/>
  <c r="B214" i="1" s="1"/>
  <c r="F168" i="1"/>
  <c r="G168" i="1" s="1"/>
  <c r="B169" i="1"/>
  <c r="J126" i="1"/>
  <c r="B190" i="1"/>
  <c r="F239" i="1"/>
  <c r="B240" i="1"/>
  <c r="G215" i="1"/>
  <c r="I215" i="1" s="1"/>
  <c r="K215" i="1" s="1"/>
  <c r="G102" i="1"/>
  <c r="B327" i="1" l="1"/>
  <c r="E326" i="1"/>
  <c r="L280" i="1"/>
  <c r="B284" i="1"/>
  <c r="F283" i="1"/>
  <c r="G283" i="1"/>
  <c r="E213" i="1"/>
  <c r="F249" i="1"/>
  <c r="F250" i="1" s="1"/>
  <c r="G237" i="1"/>
  <c r="I237" i="1" s="1"/>
  <c r="K237" i="1" s="1"/>
  <c r="E214" i="1"/>
  <c r="B215" i="1"/>
  <c r="F169" i="1"/>
  <c r="G169" i="1" s="1"/>
  <c r="B170" i="1"/>
  <c r="B191" i="1"/>
  <c r="E190" i="1"/>
  <c r="G239" i="1"/>
  <c r="I239" i="1" s="1"/>
  <c r="K239" i="1" s="1"/>
  <c r="B241" i="1"/>
  <c r="F240" i="1"/>
  <c r="G240" i="1" s="1"/>
  <c r="I240" i="1" s="1"/>
  <c r="K240" i="1" s="1"/>
  <c r="G216" i="1"/>
  <c r="I216" i="1" s="1"/>
  <c r="F105" i="1"/>
  <c r="B328" i="1" l="1"/>
  <c r="E327" i="1"/>
  <c r="H283" i="1"/>
  <c r="J283" i="1" s="1"/>
  <c r="B285" i="1"/>
  <c r="F284" i="1"/>
  <c r="G284" i="1"/>
  <c r="H284" i="1" s="1"/>
  <c r="J284" i="1" s="1"/>
  <c r="L284" i="1" s="1"/>
  <c r="E191" i="1"/>
  <c r="B192" i="1"/>
  <c r="F251" i="1"/>
  <c r="B171" i="1"/>
  <c r="F170" i="1"/>
  <c r="G170" i="1" s="1"/>
  <c r="E215" i="1"/>
  <c r="B216" i="1"/>
  <c r="K216" i="1"/>
  <c r="B242" i="1"/>
  <c r="F241" i="1"/>
  <c r="G217" i="1"/>
  <c r="I217" i="1" s="1"/>
  <c r="K217" i="1" s="1"/>
  <c r="G105" i="1"/>
  <c r="F106" i="1"/>
  <c r="G106" i="1" s="1"/>
  <c r="B329" i="1" l="1"/>
  <c r="E328" i="1"/>
  <c r="L283" i="1"/>
  <c r="B286" i="1"/>
  <c r="G285" i="1"/>
  <c r="F285" i="1"/>
  <c r="E192" i="1"/>
  <c r="B193" i="1"/>
  <c r="E216" i="1"/>
  <c r="B217" i="1"/>
  <c r="F171" i="1"/>
  <c r="G171" i="1" s="1"/>
  <c r="B172" i="1"/>
  <c r="B243" i="1"/>
  <c r="F242" i="1"/>
  <c r="G241" i="1"/>
  <c r="I241" i="1" s="1"/>
  <c r="K241" i="1" s="1"/>
  <c r="F252" i="1"/>
  <c r="G218" i="1"/>
  <c r="I218" i="1" s="1"/>
  <c r="F107" i="1"/>
  <c r="G107" i="1" s="1"/>
  <c r="B330" i="1" l="1"/>
  <c r="E329" i="1"/>
  <c r="B287" i="1"/>
  <c r="G286" i="1"/>
  <c r="H286" i="1" s="1"/>
  <c r="J286" i="1" s="1"/>
  <c r="L286" i="1" s="1"/>
  <c r="F286" i="1"/>
  <c r="G242" i="1"/>
  <c r="I242" i="1" s="1"/>
  <c r="K242" i="1" s="1"/>
  <c r="H285" i="1"/>
  <c r="J285" i="1" s="1"/>
  <c r="F172" i="1"/>
  <c r="G172" i="1" s="1"/>
  <c r="B173" i="1"/>
  <c r="K218" i="1"/>
  <c r="J223" i="1" s="1"/>
  <c r="I221" i="1"/>
  <c r="F253" i="1"/>
  <c r="B194" i="1"/>
  <c r="E193" i="1"/>
  <c r="E217" i="1"/>
  <c r="B218" i="1"/>
  <c r="F243" i="1"/>
  <c r="B244" i="1"/>
  <c r="F108" i="1"/>
  <c r="G108" i="1" s="1"/>
  <c r="K55" i="1"/>
  <c r="L55" i="1"/>
  <c r="M55" i="1"/>
  <c r="K56" i="1"/>
  <c r="L56" i="1"/>
  <c r="M56" i="1"/>
  <c r="K57" i="1"/>
  <c r="L57" i="1"/>
  <c r="M57" i="1"/>
  <c r="J56" i="1"/>
  <c r="J57" i="1"/>
  <c r="J55" i="1"/>
  <c r="F4" i="1"/>
  <c r="E4" i="1"/>
  <c r="B331" i="1" l="1"/>
  <c r="E330" i="1"/>
  <c r="L285" i="1"/>
  <c r="B288" i="1"/>
  <c r="G287" i="1"/>
  <c r="F287" i="1"/>
  <c r="B195" i="1"/>
  <c r="E195" i="1" s="1"/>
  <c r="E194" i="1"/>
  <c r="E218" i="1"/>
  <c r="B219" i="1"/>
  <c r="F173" i="1"/>
  <c r="G173" i="1" s="1"/>
  <c r="B174" i="1"/>
  <c r="G243" i="1"/>
  <c r="I243" i="1" s="1"/>
  <c r="K243" i="1" s="1"/>
  <c r="B245" i="1"/>
  <c r="F245" i="1" s="1"/>
  <c r="F244" i="1"/>
  <c r="G244" i="1" s="1"/>
  <c r="I244" i="1" s="1"/>
  <c r="K244" i="1" s="1"/>
  <c r="F254" i="1"/>
  <c r="F109" i="1"/>
  <c r="E331" i="1" l="1"/>
  <c r="B332" i="1"/>
  <c r="E332" i="1" s="1"/>
  <c r="H287" i="1"/>
  <c r="J287" i="1" s="1"/>
  <c r="L287" i="1" s="1"/>
  <c r="B289" i="1"/>
  <c r="G289" i="1" s="1"/>
  <c r="G288" i="1"/>
  <c r="H288" i="1" s="1"/>
  <c r="J288" i="1" s="1"/>
  <c r="L288" i="1" s="1"/>
  <c r="F288" i="1"/>
  <c r="G245" i="1"/>
  <c r="I245" i="1" s="1"/>
  <c r="K245" i="1" s="1"/>
  <c r="J247" i="1" s="1"/>
  <c r="F246" i="1"/>
  <c r="B220" i="1"/>
  <c r="E220" i="1" s="1"/>
  <c r="E219" i="1"/>
  <c r="F174" i="1"/>
  <c r="G174" i="1" s="1"/>
  <c r="B175" i="1"/>
  <c r="F255" i="1"/>
  <c r="F256" i="1" s="1"/>
  <c r="G109" i="1"/>
  <c r="F111" i="1"/>
  <c r="F110" i="1"/>
  <c r="G110" i="1" s="1"/>
  <c r="F257" i="1" l="1"/>
  <c r="F289" i="1"/>
  <c r="H289" i="1"/>
  <c r="J289" i="1" s="1"/>
  <c r="G290" i="1"/>
  <c r="F175" i="1"/>
  <c r="G175" i="1" s="1"/>
  <c r="B176" i="1"/>
  <c r="F176" i="1" s="1"/>
  <c r="G176" i="1" s="1"/>
  <c r="G111" i="1"/>
  <c r="G114" i="1" s="1"/>
  <c r="F114" i="1"/>
  <c r="F113" i="1"/>
  <c r="L289" i="1" l="1"/>
  <c r="L291" i="1" s="1"/>
  <c r="J291" i="1"/>
  <c r="G113" i="1"/>
  <c r="F328" i="1"/>
  <c r="G328" i="1" s="1"/>
  <c r="K328" i="1" s="1"/>
  <c r="M328" i="1" s="1"/>
  <c r="F330" i="1"/>
  <c r="G330" i="1" s="1"/>
  <c r="K330" i="1" s="1"/>
  <c r="M330" i="1" s="1"/>
  <c r="F327" i="1"/>
  <c r="G327" i="1" s="1"/>
  <c r="K327" i="1" s="1"/>
  <c r="M327" i="1" s="1"/>
  <c r="F326" i="1"/>
  <c r="G326" i="1" s="1"/>
  <c r="K326" i="1" s="1"/>
  <c r="M326" i="1" s="1"/>
  <c r="F325" i="1"/>
  <c r="G325" i="1" s="1"/>
  <c r="K325" i="1" s="1"/>
  <c r="M325" i="1" s="1"/>
  <c r="F331" i="1"/>
  <c r="G331" i="1" s="1"/>
  <c r="K331" i="1" s="1"/>
  <c r="M331" i="1" s="1"/>
  <c r="F332" i="1"/>
  <c r="G332" i="1" s="1"/>
  <c r="K332" i="1" s="1"/>
  <c r="M332" i="1" s="1"/>
  <c r="F323" i="1"/>
  <c r="G323" i="1" s="1"/>
  <c r="K323" i="1" s="1"/>
  <c r="M323" i="1" s="1"/>
  <c r="F324" i="1"/>
  <c r="G324" i="1" s="1"/>
  <c r="K324" i="1" s="1"/>
  <c r="M324" i="1" s="1"/>
  <c r="F329" i="1"/>
  <c r="F322" i="1"/>
  <c r="G322" i="1" s="1"/>
  <c r="K322" i="1" s="1"/>
  <c r="G329" i="1" l="1"/>
  <c r="M322" i="1"/>
  <c r="K329" i="1" l="1"/>
  <c r="M329" i="1" l="1"/>
  <c r="K334" i="1"/>
  <c r="M334" i="1" l="1"/>
</calcChain>
</file>

<file path=xl/sharedStrings.xml><?xml version="1.0" encoding="utf-8"?>
<sst xmlns="http://schemas.openxmlformats.org/spreadsheetml/2006/main" count="416" uniqueCount="183">
  <si>
    <t>Parametros</t>
  </si>
  <si>
    <t xml:space="preserve">Métrica </t>
  </si>
  <si>
    <t>Ciudad Ago'25</t>
  </si>
  <si>
    <t>Peche Rice Ago'25</t>
  </si>
  <si>
    <t>Mín-Máx ref.</t>
  </si>
  <si>
    <t xml:space="preserve">m2 promedio </t>
  </si>
  <si>
    <t>Precio m2</t>
  </si>
  <si>
    <t>Precio Unidad</t>
  </si>
  <si>
    <t xml:space="preserve">Abosrción prom. X proyecto </t>
  </si>
  <si>
    <t xml:space="preserve">Veredas Inventario Disponible  </t>
  </si>
  <si>
    <t xml:space="preserve">Veredas ultimos 3 lote vendido </t>
  </si>
  <si>
    <t xml:space="preserve">top 10 mas venden </t>
  </si>
  <si>
    <t>Mín (El Cañon Residencial)</t>
  </si>
  <si>
    <t>Máx Vivar el Cid</t>
  </si>
  <si>
    <t>Variable</t>
  </si>
  <si>
    <t>Tipo</t>
  </si>
  <si>
    <t>dependiente</t>
  </si>
  <si>
    <t>Precio promedio por m²</t>
  </si>
  <si>
    <t>independiente</t>
  </si>
  <si>
    <t>(%\text{vendido}_i)</t>
  </si>
  <si>
    <t>control</t>
  </si>
  <si>
    <t>( \text{ZonaPeche}_i )</t>
  </si>
  <si>
    <t>Error estándar</t>
  </si>
  <si>
    <t>Signo</t>
  </si>
  <si>
    <t>p-valor</t>
  </si>
  <si>
    <t>Interpretación</t>
  </si>
  <si>
    <t>Constante</t>
  </si>
  <si>
    <t>+</t>
  </si>
  <si>
    <t>–</t>
  </si>
  <si>
    <t>ln(Tamaño m²)</t>
  </si>
  <si>
    <t>(ln(Tamaño m²))²</t>
  </si>
  <si>
    <t>% vendido</t>
  </si>
  <si>
    <t>Descripción</t>
  </si>
  <si>
    <t>(P_{m^2,i})</t>
  </si>
  <si>
    <t>(M_i)</t>
  </si>
  <si>
    <t>Tamaño promedio de lote</t>
  </si>
  <si>
    <t>(A_i)</t>
  </si>
  <si>
    <t>Ventas mensuales (absorción)</t>
  </si>
  <si>
    <t>((\ln M_i)^2)</t>
  </si>
  <si>
    <t>Término cuadrático para detectar el punto de inflexión</t>
  </si>
  <si>
    <t>Nivel de madurez del proyecto</t>
  </si>
  <si>
    <t>Dummy (1=Peche Rice, 0=otra zona)</t>
  </si>
  <si>
    <t>Coeficiente (α)</t>
  </si>
  <si>
    <t>Precio base esperado en el mercado.</t>
  </si>
  <si>
    <t>A mayor tamaño, aumenta el precio por m² hasta cierto punto.</t>
  </si>
  <si>
    <t>–0.05</t>
  </si>
  <si>
    <t>Indica curvatura → hay un tamaño “ideal” que maximiza el precio/m².</t>
  </si>
  <si>
    <t>ln(Ventas)</t>
  </si>
  <si>
    <t>A mayor absorción, mejor precio de cierre (efecto demanda).</t>
  </si>
  <si>
    <t>Madurez del proyecto impulsa precios (confianza del comprador).</t>
  </si>
  <si>
    <t>Zona Peche Rice</t>
  </si>
  <si>
    <t>Efecto leve de plusvalía zonal (no significativo).</t>
  </si>
  <si>
    <t>M²</t>
  </si>
  <si>
    <t>Mercado</t>
  </si>
  <si>
    <t xml:space="preserve">Top 10 mas venden </t>
  </si>
  <si>
    <t>Peche Rice</t>
  </si>
  <si>
    <t>Modelo Ideas Frescas</t>
  </si>
  <si>
    <t xml:space="preserve">Veredas inventario disponible  </t>
  </si>
  <si>
    <t>Mín.</t>
  </si>
  <si>
    <t>Promedio</t>
  </si>
  <si>
    <t>Máx.</t>
  </si>
  <si>
    <t>M² TERRENOS</t>
  </si>
  <si>
    <t>Año</t>
  </si>
  <si>
    <t>Precio m² (nominal)</t>
  </si>
  <si>
    <t>Ventas mensuales (lotes)</t>
  </si>
  <si>
    <t>Ventas mensuales (m²)</t>
  </si>
  <si>
    <t>Inventario restante</t>
  </si>
  <si>
    <t>Ingreso mensual (MXN)</t>
  </si>
  <si>
    <t>Ingreso mensual real (MXN)</t>
  </si>
  <si>
    <t>2025-2026</t>
  </si>
  <si>
    <t>2026-2027</t>
  </si>
  <si>
    <t>2027-2028</t>
  </si>
  <si>
    <t>2028-2029</t>
  </si>
  <si>
    <t>2029-2030</t>
  </si>
  <si>
    <t>2030-2031</t>
  </si>
  <si>
    <t>2031-2032</t>
  </si>
  <si>
    <t>2032-2033</t>
  </si>
  <si>
    <t>2033-2034</t>
  </si>
  <si>
    <t>2034-2035</t>
  </si>
  <si>
    <t>Símbolo</t>
  </si>
  <si>
    <t>Valor inicial</t>
  </si>
  <si>
    <t>Fuente / referencia</t>
  </si>
  <si>
    <t>Inventario inicial</t>
  </si>
  <si>
    <t>(I_0)</t>
  </si>
  <si>
    <t>1,000 lotes</t>
  </si>
  <si>
    <t>Objetivo del proyecto</t>
  </si>
  <si>
    <t>Tamaño promedio del lote</t>
  </si>
  <si>
    <t>(\bar M_0)</t>
  </si>
  <si>
    <t>Promedio óptimo (regresiones)</t>
  </si>
  <si>
    <t>Precio inicial por m²</t>
  </si>
  <si>
    <t>(P_{m2,0})</t>
  </si>
  <si>
    <t>Promedio de equilibrio</t>
  </si>
  <si>
    <t>Elasticidad precio–demanda</t>
  </si>
  <si>
    <t>(\varepsilon_p)</t>
  </si>
  <si>
    <t>–0.25</t>
  </si>
  <si>
    <t>Estimada de histórico</t>
  </si>
  <si>
    <t>Tasa de competitividad</t>
  </si>
  <si>
    <t>(\theta)</t>
  </si>
  <si>
    <t>Escenario competitivo (marketing + financiamiento)</t>
  </si>
  <si>
    <t>Inflación esperada anual</t>
  </si>
  <si>
    <t>(\pi)</t>
  </si>
  <si>
    <t>Banxico + INPC histórico</t>
  </si>
  <si>
    <t>Plusvalía real anual</t>
  </si>
  <si>
    <t>(g)</t>
  </si>
  <si>
    <t>Benchmark sold-out promedio</t>
  </si>
  <si>
    <t>Ajuste escalonado de precios</t>
  </si>
  <si>
    <t>(\Delta_h)</t>
  </si>
  <si>
    <t>+3% cada 12 meses o 15% de inventario vendido</t>
  </si>
  <si>
    <t>Política comercial</t>
  </si>
  <si>
    <t>Periodo de simulación</t>
  </si>
  <si>
    <t>T</t>
  </si>
  <si>
    <t>hasta sold-out (~8–10 años)</t>
  </si>
  <si>
    <t>libre</t>
  </si>
  <si>
    <t>112 m²</t>
  </si>
  <si>
    <t>PRECIO FINAL</t>
  </si>
  <si>
    <t>ABSORCIÓN 125 M² A $5,250 M²</t>
  </si>
  <si>
    <t>ABSORCIÓN 112 M² A $5,100 M²</t>
  </si>
  <si>
    <t>.</t>
  </si>
  <si>
    <t>2025–2026</t>
  </si>
  <si>
    <t>2026–2027</t>
  </si>
  <si>
    <t>2027–2028</t>
  </si>
  <si>
    <t>2028–2029</t>
  </si>
  <si>
    <t>2029–2030</t>
  </si>
  <si>
    <t>2030–2031</t>
  </si>
  <si>
    <t>2031–2032</t>
  </si>
  <si>
    <t>2032–2033</t>
  </si>
  <si>
    <t>2033–2034</t>
  </si>
  <si>
    <t>2034–2035</t>
  </si>
  <si>
    <t>2035–2036*</t>
  </si>
  <si>
    <t>Modelo 1- 120 m² a $5,300</t>
  </si>
  <si>
    <t>Modelo 2- 112 m² a $5,100</t>
  </si>
  <si>
    <t>top 10 + venden Mazatlán</t>
  </si>
  <si>
    <r>
      <t xml:space="preserve">Modelo 4- 161 m² a $5,798  </t>
    </r>
    <r>
      <rPr>
        <i/>
        <sz val="11"/>
        <color rgb="FFBFBFBF"/>
        <rFont val="Playfair Display"/>
      </rPr>
      <t>mercado Mazatlán</t>
    </r>
  </si>
  <si>
    <r>
      <t xml:space="preserve">Modelo 5- 125 m² a $7,100  </t>
    </r>
    <r>
      <rPr>
        <i/>
        <sz val="11"/>
        <color rgb="FFBFBFBF"/>
        <rFont val="Playfair Display"/>
      </rPr>
      <t>mercado Mazatlán</t>
    </r>
  </si>
  <si>
    <t>Modelo 3- 131 m² a $5,143 top 10 + venden Mazatlán</t>
  </si>
  <si>
    <t>Modelo</t>
  </si>
  <si>
    <r>
      <t>m</t>
    </r>
    <r>
      <rPr>
        <vertAlign val="superscript"/>
        <sz val="14"/>
        <color rgb="FF000000"/>
        <rFont val="Roboto Light"/>
      </rPr>
      <t>2</t>
    </r>
  </si>
  <si>
    <r>
      <t>Precio por m</t>
    </r>
    <r>
      <rPr>
        <vertAlign val="superscript"/>
        <sz val="14"/>
        <color rgb="FF000000"/>
        <rFont val="Roboto Light"/>
      </rPr>
      <t>2</t>
    </r>
  </si>
  <si>
    <t>Precio inicial</t>
  </si>
  <si>
    <t>Precio final</t>
  </si>
  <si>
    <t>Abs. mín</t>
  </si>
  <si>
    <t>Abs. prom</t>
  </si>
  <si>
    <t>Abs. máx</t>
  </si>
  <si>
    <t>Tempo acabar inventario</t>
  </si>
  <si>
    <t>Ingreso mensual</t>
  </si>
  <si>
    <t>Ingreso estim. del proyecto</t>
  </si>
  <si>
    <t>Mercado Mazatlán</t>
  </si>
  <si>
    <t>9.9 años</t>
  </si>
  <si>
    <t>9.6 años</t>
  </si>
  <si>
    <t>Modelo 1</t>
  </si>
  <si>
    <t>10.6 años</t>
  </si>
  <si>
    <t>Modelo 2</t>
  </si>
  <si>
    <t>9.2 años</t>
  </si>
  <si>
    <t>Modelo 3- top 10 + venden Mazatlán</t>
  </si>
  <si>
    <r>
      <t xml:space="preserve">Modelo 4-  </t>
    </r>
    <r>
      <rPr>
        <i/>
        <sz val="11"/>
        <color rgb="FFBFBFBF"/>
        <rFont val="Playfair Display"/>
      </rPr>
      <t>mercado Mazatlán</t>
    </r>
  </si>
  <si>
    <r>
      <t xml:space="preserve">Modelo 5-  </t>
    </r>
    <r>
      <rPr>
        <i/>
        <sz val="11"/>
        <color rgb="FFBFBFBF"/>
        <rFont val="Playfair Display"/>
      </rPr>
      <t>terrenos actuales</t>
    </r>
  </si>
  <si>
    <r>
      <t>m</t>
    </r>
    <r>
      <rPr>
        <vertAlign val="superscript"/>
        <sz val="12"/>
        <color rgb="FF000000"/>
        <rFont val="Roboto Light"/>
      </rPr>
      <t>2</t>
    </r>
  </si>
  <si>
    <r>
      <t>Precio por m</t>
    </r>
    <r>
      <rPr>
        <vertAlign val="superscript"/>
        <sz val="12"/>
        <color rgb="FF000000"/>
        <rFont val="Roboto Light"/>
      </rPr>
      <t>2</t>
    </r>
  </si>
  <si>
    <t>Tempo acabar inventario meses</t>
  </si>
  <si>
    <t>Modelo 3</t>
  </si>
  <si>
    <t>Modelo 4</t>
  </si>
  <si>
    <r>
      <t xml:space="preserve"> </t>
    </r>
    <r>
      <rPr>
        <i/>
        <sz val="10"/>
        <color rgb="FFBFBFBF"/>
        <rFont val="Roboto Light"/>
      </rPr>
      <t>mercado Mazatlán</t>
    </r>
  </si>
  <si>
    <t>Modelo 5</t>
  </si>
  <si>
    <r>
      <t xml:space="preserve"> </t>
    </r>
    <r>
      <rPr>
        <i/>
        <sz val="10"/>
        <color rgb="FFBFBFBF"/>
        <rFont val="Roboto Light"/>
      </rPr>
      <t>terrenos actuales</t>
    </r>
  </si>
  <si>
    <t>$6.9 M</t>
  </si>
  <si>
    <t>$7.4 M</t>
  </si>
  <si>
    <t>$8.0 M</t>
  </si>
  <si>
    <t>$8.7 M</t>
  </si>
  <si>
    <t>$9.4 M</t>
  </si>
  <si>
    <t>$10.1 M</t>
  </si>
  <si>
    <t>$10.9 M</t>
  </si>
  <si>
    <t>$11.8 M</t>
  </si>
  <si>
    <t>$12.7 M</t>
  </si>
  <si>
    <t>$13.8 M</t>
  </si>
  <si>
    <t>2035-2036*</t>
  </si>
  <si>
    <t>$10.4 M</t>
  </si>
  <si>
    <t>Ventas promedio mensuales</t>
  </si>
  <si>
    <t>ABSORCIÓN MODELO 5; 125 m² A $7,100-  TERRENOS ACTUALES</t>
  </si>
  <si>
    <t xml:space="preserve">Precio m² </t>
  </si>
  <si>
    <t>Ingreso mensual real</t>
  </si>
  <si>
    <t>ABSORCIÓN MODELO 6; 112 m² A $6,697-  HUANACAXTLE</t>
  </si>
  <si>
    <t>Precio contado</t>
  </si>
  <si>
    <t>ABSORCIÓN MODELO 7; 128 m² A $7,900-  HUANACAXTLE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</si>
</sst>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%"/>
    <numFmt numFmtId="165" formatCode="_-&quot;$&quot;* #,##0_-;\-&quot;$&quot;* #,##0_-;_-&quot;$&quot;* &quot;-&quot;??_-;_-@_-"/>
    <numFmt numFmtId="166" formatCode="_-* #,##0_-;\-* #,##0_-;_-* &quot;-&quot;??_-;_-@_-"/>
    <numFmt numFmtId="174" formatCode="0.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rgb="FF000000"/>
      <name val="Roboto Light"/>
    </font>
    <font>
      <sz val="40"/>
      <color rgb="FF000000"/>
      <name val="Lato Light"/>
      <family val="2"/>
    </font>
    <font>
      <sz val="11"/>
      <color rgb="FF000000"/>
      <name val="Aptos Narrow"/>
    </font>
    <font>
      <sz val="11"/>
      <color rgb="FF000000"/>
      <name val="Roboto Light"/>
    </font>
    <font>
      <sz val="28"/>
      <color rgb="FF000000"/>
      <name val="Lato Light"/>
      <family val="2"/>
    </font>
    <font>
      <b/>
      <sz val="11"/>
      <color rgb="FF000000"/>
      <name val="Roboto Light"/>
    </font>
    <font>
      <i/>
      <sz val="11"/>
      <color rgb="FFBFBFBF"/>
      <name val="Playfair Display"/>
    </font>
    <font>
      <sz val="14"/>
      <color rgb="FF000000"/>
      <name val="Roboto Light"/>
    </font>
    <font>
      <vertAlign val="superscript"/>
      <sz val="14"/>
      <color rgb="FF000000"/>
      <name val="Roboto Light"/>
    </font>
    <font>
      <sz val="16"/>
      <color rgb="FF000000"/>
      <name val="Roboto Light"/>
    </font>
    <font>
      <sz val="12"/>
      <color rgb="FF000000"/>
      <name val="Roboto Light"/>
    </font>
    <font>
      <vertAlign val="superscript"/>
      <sz val="12"/>
      <color rgb="FF000000"/>
      <name val="Roboto Light"/>
    </font>
    <font>
      <i/>
      <sz val="10"/>
      <color rgb="FFBFBFBF"/>
      <name val="Playfair Display"/>
    </font>
    <font>
      <sz val="10"/>
      <color rgb="FFBFBFBF"/>
      <name val="Roboto Light"/>
    </font>
    <font>
      <i/>
      <sz val="10"/>
      <color rgb="FFBFBFBF"/>
      <name val="Roboto Light"/>
    </font>
    <font>
      <sz val="10"/>
      <color rgb="FF000000"/>
      <name val="Roboto Light"/>
    </font>
    <font>
      <sz val="28"/>
      <color rgb="FF000000"/>
      <name val="Lato Ligh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6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left" wrapText="1" indent="1" readingOrder="1"/>
    </xf>
    <xf numFmtId="0" fontId="3" fillId="0" borderId="1" xfId="0" applyFont="1" applyBorder="1" applyAlignment="1">
      <alignment horizontal="center" wrapText="1" readingOrder="1"/>
    </xf>
    <xf numFmtId="6" fontId="3" fillId="0" borderId="1" xfId="0" applyNumberFormat="1" applyFont="1" applyBorder="1" applyAlignment="1">
      <alignment horizontal="center" wrapText="1" readingOrder="1"/>
    </xf>
    <xf numFmtId="6" fontId="3" fillId="0" borderId="1" xfId="0" applyNumberFormat="1" applyFont="1" applyBorder="1" applyAlignment="1">
      <alignment horizontal="center" vertical="center" wrapText="1" readingOrder="1"/>
    </xf>
    <xf numFmtId="6" fontId="0" fillId="0" borderId="0" xfId="0" applyNumberFormat="1" applyAlignment="1">
      <alignment horizontal="right" vertical="center" wrapText="1"/>
    </xf>
    <xf numFmtId="3" fontId="0" fillId="0" borderId="0" xfId="0" applyNumberFormat="1"/>
    <xf numFmtId="3" fontId="0" fillId="0" borderId="0" xfId="0" applyNumberFormat="1" applyAlignment="1">
      <alignment horizontal="right" vertical="center" wrapText="1"/>
    </xf>
    <xf numFmtId="0" fontId="5" fillId="0" borderId="0" xfId="0" applyFont="1" applyAlignment="1">
      <alignment horizontal="right" vertical="center" wrapText="1" readingOrder="1"/>
    </xf>
    <xf numFmtId="9" fontId="0" fillId="0" borderId="0" xfId="0" applyNumberFormat="1" applyAlignment="1">
      <alignment vertical="center" wrapText="1"/>
    </xf>
    <xf numFmtId="10" fontId="0" fillId="0" borderId="0" xfId="0" applyNumberFormat="1" applyAlignment="1">
      <alignment vertical="center" wrapText="1"/>
    </xf>
    <xf numFmtId="6" fontId="3" fillId="0" borderId="0" xfId="0" applyNumberFormat="1" applyFont="1" applyAlignment="1">
      <alignment horizontal="center" readingOrder="1"/>
    </xf>
    <xf numFmtId="3" fontId="3" fillId="0" borderId="1" xfId="0" applyNumberFormat="1" applyFont="1" applyBorder="1" applyAlignment="1">
      <alignment horizont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6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164" fontId="0" fillId="0" borderId="0" xfId="1" applyNumberFormat="1" applyFont="1"/>
    <xf numFmtId="6" fontId="6" fillId="0" borderId="1" xfId="0" applyNumberFormat="1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3" fontId="6" fillId="0" borderId="1" xfId="0" applyNumberFormat="1" applyFont="1" applyBorder="1" applyAlignment="1">
      <alignment horizontal="center" vertical="center" wrapText="1" readingOrder="1"/>
    </xf>
    <xf numFmtId="6" fontId="6" fillId="0" borderId="1" xfId="0" applyNumberFormat="1" applyFont="1" applyBorder="1" applyAlignment="1">
      <alignment horizontal="center" wrapText="1" readingOrder="1"/>
    </xf>
    <xf numFmtId="165" fontId="0" fillId="0" borderId="0" xfId="3" applyNumberFormat="1" applyFont="1"/>
    <xf numFmtId="166" fontId="0" fillId="0" borderId="0" xfId="2" applyNumberFormat="1" applyFont="1"/>
    <xf numFmtId="165" fontId="0" fillId="0" borderId="0" xfId="0" applyNumberFormat="1"/>
    <xf numFmtId="44" fontId="0" fillId="0" borderId="0" xfId="0" applyNumberFormat="1"/>
    <xf numFmtId="44" fontId="0" fillId="0" borderId="0" xfId="3" applyFont="1"/>
    <xf numFmtId="0" fontId="3" fillId="0" borderId="5" xfId="0" applyFont="1" applyBorder="1" applyAlignment="1">
      <alignment horizontal="center" wrapText="1" readingOrder="1"/>
    </xf>
    <xf numFmtId="0" fontId="9" fillId="0" borderId="6" xfId="0" applyFont="1" applyBorder="1" applyAlignment="1">
      <alignment horizont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6" fontId="10" fillId="0" borderId="1" xfId="0" applyNumberFormat="1" applyFont="1" applyBorder="1" applyAlignment="1">
      <alignment horizontal="center" vertical="center" wrapText="1" readingOrder="1"/>
    </xf>
    <xf numFmtId="0" fontId="10" fillId="0" borderId="8" xfId="0" applyFont="1" applyBorder="1" applyAlignment="1">
      <alignment horizontal="center" vertical="center" wrapText="1" readingOrder="1"/>
    </xf>
    <xf numFmtId="6" fontId="12" fillId="0" borderId="0" xfId="0" applyNumberFormat="1" applyFont="1" applyAlignment="1">
      <alignment horizontal="center" readingOrder="1"/>
    </xf>
    <xf numFmtId="6" fontId="12" fillId="0" borderId="0" xfId="0" applyNumberFormat="1" applyFont="1"/>
    <xf numFmtId="8" fontId="12" fillId="0" borderId="0" xfId="0" applyNumberFormat="1" applyFont="1"/>
    <xf numFmtId="0" fontId="10" fillId="0" borderId="0" xfId="0" applyFont="1" applyAlignment="1">
      <alignment horizontal="center" vertical="center" wrapText="1" readingOrder="1"/>
    </xf>
    <xf numFmtId="165" fontId="10" fillId="0" borderId="1" xfId="3" applyNumberFormat="1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wrapText="1" readingOrder="1"/>
    </xf>
    <xf numFmtId="0" fontId="3" fillId="0" borderId="7" xfId="0" applyFont="1" applyBorder="1" applyAlignment="1">
      <alignment wrapText="1" readingOrder="1"/>
    </xf>
    <xf numFmtId="0" fontId="10" fillId="0" borderId="9" xfId="0" applyFont="1" applyBorder="1" applyAlignment="1">
      <alignment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wrapText="1" readingOrder="1"/>
    </xf>
    <xf numFmtId="6" fontId="13" fillId="0" borderId="1" xfId="0" applyNumberFormat="1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wrapText="1" readingOrder="1"/>
    </xf>
    <xf numFmtId="0" fontId="15" fillId="0" borderId="6" xfId="0" applyFont="1" applyBorder="1" applyAlignment="1">
      <alignment horizontal="center" wrapText="1" readingOrder="1"/>
    </xf>
    <xf numFmtId="0" fontId="16" fillId="0" borderId="6" xfId="0" applyFont="1" applyBorder="1" applyAlignment="1">
      <alignment horizontal="center" wrapText="1" readingOrder="1"/>
    </xf>
    <xf numFmtId="0" fontId="18" fillId="0" borderId="6" xfId="0" applyFont="1" applyBorder="1" applyAlignment="1">
      <alignment horizontal="center" wrapText="1" readingOrder="1"/>
    </xf>
    <xf numFmtId="6" fontId="13" fillId="0" borderId="1" xfId="0" applyNumberFormat="1" applyFont="1" applyBorder="1" applyAlignment="1">
      <alignment horizont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6" fontId="13" fillId="0" borderId="5" xfId="0" applyNumberFormat="1" applyFont="1" applyBorder="1" applyAlignment="1">
      <alignment horizontal="center" vertical="center" wrapText="1" readingOrder="1"/>
    </xf>
    <xf numFmtId="6" fontId="13" fillId="0" borderId="6" xfId="0" applyNumberFormat="1" applyFont="1" applyBorder="1" applyAlignment="1">
      <alignment horizontal="center" vertical="center" wrapText="1" readingOrder="1"/>
    </xf>
    <xf numFmtId="6" fontId="13" fillId="0" borderId="5" xfId="0" applyNumberFormat="1" applyFont="1" applyBorder="1" applyAlignment="1">
      <alignment horizontal="center" wrapText="1" readingOrder="1"/>
    </xf>
    <xf numFmtId="6" fontId="13" fillId="0" borderId="6" xfId="0" applyNumberFormat="1" applyFont="1" applyBorder="1" applyAlignment="1">
      <alignment horizontal="center" wrapText="1" readingOrder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wrapText="1" readingOrder="1"/>
    </xf>
    <xf numFmtId="0" fontId="4" fillId="0" borderId="3" xfId="0" applyFont="1" applyBorder="1" applyAlignment="1">
      <alignment horizontal="center" wrapText="1" readingOrder="1"/>
    </xf>
    <xf numFmtId="0" fontId="4" fillId="0" borderId="4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wrapText="1" readingOrder="1"/>
    </xf>
    <xf numFmtId="0" fontId="3" fillId="0" borderId="6" xfId="0" applyFont="1" applyBorder="1" applyAlignment="1">
      <alignment horizont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19" fillId="0" borderId="2" xfId="0" applyFont="1" applyBorder="1" applyAlignment="1">
      <alignment horizontal="center" vertical="center" wrapText="1" readingOrder="1"/>
    </xf>
    <xf numFmtId="0" fontId="19" fillId="0" borderId="3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174" fontId="0" fillId="0" borderId="0" xfId="0" applyNumberFormat="1" applyAlignment="1">
      <alignment horizontal="right" vertical="center" wrapText="1"/>
    </xf>
    <xf numFmtId="174" fontId="0" fillId="0" borderId="0" xfId="0" applyNumberFormat="1"/>
    <xf numFmtId="6" fontId="0" fillId="0" borderId="0" xfId="3" applyNumberFormat="1" applyFont="1"/>
  </cellXfs>
  <cellStyles count="4">
    <cellStyle name="Millares" xfId="2" builtinId="3"/>
    <cellStyle name="Moneda" xfId="3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Hoja1!$A$55</c:f>
              <c:strCache>
                <c:ptCount val="1"/>
                <c:pt idx="0">
                  <c:v>Mín.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Hoja1!$B$54:$F$54</c:f>
              <c:strCache>
                <c:ptCount val="5"/>
                <c:pt idx="0">
                  <c:v>Mercado</c:v>
                </c:pt>
                <c:pt idx="1">
                  <c:v>Top 10 mas venden </c:v>
                </c:pt>
                <c:pt idx="2">
                  <c:v>Peche Rice</c:v>
                </c:pt>
                <c:pt idx="3">
                  <c:v>Modelo Ideas Frescas</c:v>
                </c:pt>
                <c:pt idx="4">
                  <c:v>Veredas inventario disponible  </c:v>
                </c:pt>
              </c:strCache>
            </c:strRef>
          </c:cat>
          <c:val>
            <c:numRef>
              <c:f>Hoja1!$B$55:$F$55</c:f>
              <c:numCache>
                <c:formatCode>General</c:formatCode>
                <c:ptCount val="5"/>
                <c:pt idx="0">
                  <c:v>96</c:v>
                </c:pt>
                <c:pt idx="1">
                  <c:v>96</c:v>
                </c:pt>
                <c:pt idx="2">
                  <c:v>102</c:v>
                </c:pt>
                <c:pt idx="3">
                  <c:v>112</c:v>
                </c:pt>
                <c:pt idx="4">
                  <c:v>103.4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3-46BB-BE50-DE8FECFAC90A}"/>
            </c:ext>
          </c:extLst>
        </c:ser>
        <c:ser>
          <c:idx val="1"/>
          <c:order val="1"/>
          <c:tx>
            <c:strRef>
              <c:f>Hoja1!$A$56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Hoja1!$B$54:$F$54</c:f>
              <c:strCache>
                <c:ptCount val="5"/>
                <c:pt idx="0">
                  <c:v>Mercado</c:v>
                </c:pt>
                <c:pt idx="1">
                  <c:v>Top 10 mas venden </c:v>
                </c:pt>
                <c:pt idx="2">
                  <c:v>Peche Rice</c:v>
                </c:pt>
                <c:pt idx="3">
                  <c:v>Modelo Ideas Frescas</c:v>
                </c:pt>
                <c:pt idx="4">
                  <c:v>Veredas inventario disponible  </c:v>
                </c:pt>
              </c:strCache>
            </c:strRef>
          </c:cat>
          <c:val>
            <c:numRef>
              <c:f>Hoja1!$B$56:$F$56</c:f>
              <c:numCache>
                <c:formatCode>General</c:formatCode>
                <c:ptCount val="5"/>
                <c:pt idx="0">
                  <c:v>160.69999999999999</c:v>
                </c:pt>
                <c:pt idx="1">
                  <c:v>131.4</c:v>
                </c:pt>
                <c:pt idx="2">
                  <c:v>119.3</c:v>
                </c:pt>
                <c:pt idx="3">
                  <c:v>120</c:v>
                </c:pt>
                <c:pt idx="4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B3-46BB-BE50-DE8FECFAC90A}"/>
            </c:ext>
          </c:extLst>
        </c:ser>
        <c:ser>
          <c:idx val="2"/>
          <c:order val="2"/>
          <c:tx>
            <c:strRef>
              <c:f>Hoja1!$A$57</c:f>
              <c:strCache>
                <c:ptCount val="1"/>
                <c:pt idx="0">
                  <c:v>Máx.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Hoja1!$B$54:$F$54</c:f>
              <c:strCache>
                <c:ptCount val="5"/>
                <c:pt idx="0">
                  <c:v>Mercado</c:v>
                </c:pt>
                <c:pt idx="1">
                  <c:v>Top 10 mas venden </c:v>
                </c:pt>
                <c:pt idx="2">
                  <c:v>Peche Rice</c:v>
                </c:pt>
                <c:pt idx="3">
                  <c:v>Modelo Ideas Frescas</c:v>
                </c:pt>
                <c:pt idx="4">
                  <c:v>Veredas inventario disponible  </c:v>
                </c:pt>
              </c:strCache>
            </c:strRef>
          </c:cat>
          <c:val>
            <c:numRef>
              <c:f>Hoja1!$B$57:$F$57</c:f>
              <c:numCache>
                <c:formatCode>General</c:formatCode>
                <c:ptCount val="5"/>
                <c:pt idx="0">
                  <c:v>923</c:v>
                </c:pt>
                <c:pt idx="1">
                  <c:v>312</c:v>
                </c:pt>
                <c:pt idx="2">
                  <c:v>198</c:v>
                </c:pt>
                <c:pt idx="3">
                  <c:v>127</c:v>
                </c:pt>
                <c:pt idx="4">
                  <c:v>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B3-46BB-BE50-DE8FECFAC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4464335"/>
        <c:axId val="1444468175"/>
      </c:barChart>
      <c:catAx>
        <c:axId val="1444464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4468175"/>
        <c:crosses val="autoZero"/>
        <c:auto val="1"/>
        <c:lblAlgn val="ctr"/>
        <c:lblOffset val="100"/>
        <c:noMultiLvlLbl val="0"/>
      </c:catAx>
      <c:valAx>
        <c:axId val="1444468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4464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Hoja1!$A$47</c:f>
              <c:strCache>
                <c:ptCount val="1"/>
                <c:pt idx="0">
                  <c:v>Mín.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Hoja1!$B$46:$F$46</c:f>
              <c:strCache>
                <c:ptCount val="5"/>
                <c:pt idx="0">
                  <c:v>Mercado</c:v>
                </c:pt>
                <c:pt idx="1">
                  <c:v>Top 10 mas venden </c:v>
                </c:pt>
                <c:pt idx="2">
                  <c:v>Peche Rice</c:v>
                </c:pt>
                <c:pt idx="3">
                  <c:v>Modelo Ideas Frescas</c:v>
                </c:pt>
                <c:pt idx="4">
                  <c:v>Veredas inventario disponible  </c:v>
                </c:pt>
              </c:strCache>
            </c:strRef>
          </c:cat>
          <c:val>
            <c:numRef>
              <c:f>Hoja1!$B$47:$F$47</c:f>
              <c:numCache>
                <c:formatCode>"$"#,##0_);[Red]\("$"#,##0\)</c:formatCode>
                <c:ptCount val="5"/>
                <c:pt idx="0">
                  <c:v>1568</c:v>
                </c:pt>
                <c:pt idx="1">
                  <c:v>2892</c:v>
                </c:pt>
                <c:pt idx="2">
                  <c:v>2892</c:v>
                </c:pt>
                <c:pt idx="3">
                  <c:v>5100</c:v>
                </c:pt>
                <c:pt idx="4">
                  <c:v>4600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1-4656-9D80-E3090C1A395F}"/>
            </c:ext>
          </c:extLst>
        </c:ser>
        <c:ser>
          <c:idx val="1"/>
          <c:order val="1"/>
          <c:tx>
            <c:strRef>
              <c:f>Hoja1!$A$48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Hoja1!$B$46:$F$46</c:f>
              <c:strCache>
                <c:ptCount val="5"/>
                <c:pt idx="0">
                  <c:v>Mercado</c:v>
                </c:pt>
                <c:pt idx="1">
                  <c:v>Top 10 mas venden </c:v>
                </c:pt>
                <c:pt idx="2">
                  <c:v>Peche Rice</c:v>
                </c:pt>
                <c:pt idx="3">
                  <c:v>Modelo Ideas Frescas</c:v>
                </c:pt>
                <c:pt idx="4">
                  <c:v>Veredas inventario disponible  </c:v>
                </c:pt>
              </c:strCache>
            </c:strRef>
          </c:cat>
          <c:val>
            <c:numRef>
              <c:f>Hoja1!$B$48:$F$48</c:f>
              <c:numCache>
                <c:formatCode>"$"#,##0_);[Red]\("$"#,##0\)</c:formatCode>
                <c:ptCount val="5"/>
                <c:pt idx="0">
                  <c:v>5798</c:v>
                </c:pt>
                <c:pt idx="1">
                  <c:v>5143</c:v>
                </c:pt>
                <c:pt idx="2">
                  <c:v>5390</c:v>
                </c:pt>
                <c:pt idx="3">
                  <c:v>5300</c:v>
                </c:pt>
                <c:pt idx="4">
                  <c:v>7532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1-4656-9D80-E3090C1A395F}"/>
            </c:ext>
          </c:extLst>
        </c:ser>
        <c:ser>
          <c:idx val="2"/>
          <c:order val="2"/>
          <c:tx>
            <c:strRef>
              <c:f>Hoja1!$A$49</c:f>
              <c:strCache>
                <c:ptCount val="1"/>
                <c:pt idx="0">
                  <c:v>Máx.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Hoja1!$B$46:$F$46</c:f>
              <c:strCache>
                <c:ptCount val="5"/>
                <c:pt idx="0">
                  <c:v>Mercado</c:v>
                </c:pt>
                <c:pt idx="1">
                  <c:v>Top 10 mas venden </c:v>
                </c:pt>
                <c:pt idx="2">
                  <c:v>Peche Rice</c:v>
                </c:pt>
                <c:pt idx="3">
                  <c:v>Modelo Ideas Frescas</c:v>
                </c:pt>
                <c:pt idx="4">
                  <c:v>Veredas inventario disponible  </c:v>
                </c:pt>
              </c:strCache>
            </c:strRef>
          </c:cat>
          <c:val>
            <c:numRef>
              <c:f>Hoja1!$B$49:$F$49</c:f>
              <c:numCache>
                <c:formatCode>"$"#,##0_);[Red]\("$"#,##0\)</c:formatCode>
                <c:ptCount val="5"/>
                <c:pt idx="0">
                  <c:v>16215</c:v>
                </c:pt>
                <c:pt idx="1">
                  <c:v>11800</c:v>
                </c:pt>
                <c:pt idx="2">
                  <c:v>11000</c:v>
                </c:pt>
                <c:pt idx="3">
                  <c:v>5500</c:v>
                </c:pt>
                <c:pt idx="4">
                  <c:v>10350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C1-4656-9D80-E3090C1A3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4466735"/>
        <c:axId val="1444465295"/>
      </c:barChart>
      <c:catAx>
        <c:axId val="1444466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4465295"/>
        <c:crosses val="autoZero"/>
        <c:auto val="1"/>
        <c:lblAlgn val="ctr"/>
        <c:lblOffset val="100"/>
        <c:noMultiLvlLbl val="0"/>
      </c:catAx>
      <c:valAx>
        <c:axId val="144446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4466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Hoja1!$F$80</c:f>
              <c:strCache>
                <c:ptCount val="1"/>
                <c:pt idx="0">
                  <c:v>Mín.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Hoja1!$G$79:$K$79</c:f>
              <c:strCache>
                <c:ptCount val="5"/>
                <c:pt idx="0">
                  <c:v>Mercado</c:v>
                </c:pt>
                <c:pt idx="1">
                  <c:v>Top 10 mas venden </c:v>
                </c:pt>
                <c:pt idx="2">
                  <c:v>Peche Rice</c:v>
                </c:pt>
                <c:pt idx="3">
                  <c:v>Modelo Ideas Frescas</c:v>
                </c:pt>
                <c:pt idx="4">
                  <c:v>Veredas inventario disponible  </c:v>
                </c:pt>
              </c:strCache>
            </c:strRef>
          </c:cat>
          <c:val>
            <c:numRef>
              <c:f>Hoja1!$G$80:$K$80</c:f>
              <c:numCache>
                <c:formatCode>#,##0</c:formatCode>
                <c:ptCount val="5"/>
                <c:pt idx="0" formatCode="&quot;$&quot;#,##0_);[Red]\(&quot;$&quot;#,##0\)">
                  <c:v>182000</c:v>
                </c:pt>
                <c:pt idx="1">
                  <c:v>295000</c:v>
                </c:pt>
                <c:pt idx="2" formatCode="&quot;$&quot;#,##0_);[Red]\(&quot;$&quot;#,##0\)">
                  <c:v>295000</c:v>
                </c:pt>
                <c:pt idx="3" formatCode="&quot;$&quot;#,##0_);[Red]\(&quot;$&quot;#,##0\)">
                  <c:v>571200</c:v>
                </c:pt>
                <c:pt idx="4" formatCode="&quot;$&quot;#,##0_);[Red]\(&quot;$&quot;#,##0\)">
                  <c:v>687700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5-42CF-AFCA-46AE6A345C53}"/>
            </c:ext>
          </c:extLst>
        </c:ser>
        <c:ser>
          <c:idx val="1"/>
          <c:order val="1"/>
          <c:tx>
            <c:strRef>
              <c:f>Hoja1!$F$81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Hoja1!$G$79:$K$79</c:f>
              <c:strCache>
                <c:ptCount val="5"/>
                <c:pt idx="0">
                  <c:v>Mercado</c:v>
                </c:pt>
                <c:pt idx="1">
                  <c:v>Top 10 mas venden </c:v>
                </c:pt>
                <c:pt idx="2">
                  <c:v>Peche Rice</c:v>
                </c:pt>
                <c:pt idx="3">
                  <c:v>Modelo Ideas Frescas</c:v>
                </c:pt>
                <c:pt idx="4">
                  <c:v>Veredas inventario disponible  </c:v>
                </c:pt>
              </c:strCache>
            </c:strRef>
          </c:cat>
          <c:val>
            <c:numRef>
              <c:f>Hoja1!$G$81:$K$81</c:f>
              <c:numCache>
                <c:formatCode>"$"#,##0_);[Red]\("$"#,##0\)</c:formatCode>
                <c:ptCount val="5"/>
                <c:pt idx="0">
                  <c:v>1020350</c:v>
                </c:pt>
                <c:pt idx="1">
                  <c:v>723019</c:v>
                </c:pt>
                <c:pt idx="2">
                  <c:v>671206</c:v>
                </c:pt>
                <c:pt idx="3">
                  <c:v>636000</c:v>
                </c:pt>
                <c:pt idx="4">
                  <c:v>1072938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5-42CF-AFCA-46AE6A345C53}"/>
            </c:ext>
          </c:extLst>
        </c:ser>
        <c:ser>
          <c:idx val="2"/>
          <c:order val="2"/>
          <c:tx>
            <c:strRef>
              <c:f>Hoja1!$F$82</c:f>
              <c:strCache>
                <c:ptCount val="1"/>
                <c:pt idx="0">
                  <c:v>Máx.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Hoja1!$G$79:$K$79</c:f>
              <c:strCache>
                <c:ptCount val="5"/>
                <c:pt idx="0">
                  <c:v>Mercado</c:v>
                </c:pt>
                <c:pt idx="1">
                  <c:v>Top 10 mas venden </c:v>
                </c:pt>
                <c:pt idx="2">
                  <c:v>Peche Rice</c:v>
                </c:pt>
                <c:pt idx="3">
                  <c:v>Modelo Ideas Frescas</c:v>
                </c:pt>
                <c:pt idx="4">
                  <c:v>Veredas inventario disponible  </c:v>
                </c:pt>
              </c:strCache>
            </c:strRef>
          </c:cat>
          <c:val>
            <c:numRef>
              <c:f>Hoja1!$G$82:$K$82</c:f>
              <c:numCache>
                <c:formatCode>"$"#,##0_);[Red]\("$"#,##0\)</c:formatCode>
                <c:ptCount val="5"/>
                <c:pt idx="0">
                  <c:v>14977603</c:v>
                </c:pt>
                <c:pt idx="1">
                  <c:v>2326272</c:v>
                </c:pt>
                <c:pt idx="2">
                  <c:v>2057440</c:v>
                </c:pt>
                <c:pt idx="3">
                  <c:v>698500</c:v>
                </c:pt>
                <c:pt idx="4">
                  <c:v>3661517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2CF-AFCA-46AE6A345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4472015"/>
        <c:axId val="1444461455"/>
      </c:barChart>
      <c:catAx>
        <c:axId val="144447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4461455"/>
        <c:crosses val="autoZero"/>
        <c:auto val="1"/>
        <c:lblAlgn val="ctr"/>
        <c:lblOffset val="100"/>
        <c:noMultiLvlLbl val="0"/>
      </c:catAx>
      <c:valAx>
        <c:axId val="1444461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4472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Hoja1!$B$101</c:f>
              <c:strCache>
                <c:ptCount val="1"/>
                <c:pt idx="0">
                  <c:v>Precio m² (nominal)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Hoja1!$A$117:$A$126</c:f>
              <c:strCache>
                <c:ptCount val="10"/>
                <c:pt idx="0">
                  <c:v>2025-2026</c:v>
                </c:pt>
                <c:pt idx="1">
                  <c:v>2026-2027</c:v>
                </c:pt>
                <c:pt idx="2">
                  <c:v>2027-2028</c:v>
                </c:pt>
                <c:pt idx="3">
                  <c:v>2028-2029</c:v>
                </c:pt>
                <c:pt idx="4">
                  <c:v>2029-2030</c:v>
                </c:pt>
                <c:pt idx="5">
                  <c:v>2030-2031</c:v>
                </c:pt>
                <c:pt idx="6">
                  <c:v>2031-2032</c:v>
                </c:pt>
                <c:pt idx="7">
                  <c:v>2032-2033</c:v>
                </c:pt>
                <c:pt idx="8">
                  <c:v>2033-2034</c:v>
                </c:pt>
                <c:pt idx="9">
                  <c:v>2034-2035</c:v>
                </c:pt>
              </c:strCache>
            </c:strRef>
          </c:cat>
          <c:val>
            <c:numRef>
              <c:f>Hoja1!$E$117:$E$126</c:f>
              <c:numCache>
                <c:formatCode>General</c:formatCode>
                <c:ptCount val="10"/>
                <c:pt idx="0">
                  <c:v>890</c:v>
                </c:pt>
                <c:pt idx="1">
                  <c:v>777</c:v>
                </c:pt>
                <c:pt idx="2">
                  <c:v>670</c:v>
                </c:pt>
                <c:pt idx="3">
                  <c:v>560</c:v>
                </c:pt>
                <c:pt idx="4">
                  <c:v>455</c:v>
                </c:pt>
                <c:pt idx="5">
                  <c:v>355</c:v>
                </c:pt>
                <c:pt idx="6">
                  <c:v>255</c:v>
                </c:pt>
                <c:pt idx="7">
                  <c:v>155</c:v>
                </c:pt>
                <c:pt idx="8">
                  <c:v>60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C-497E-98C7-02988E737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72016"/>
        <c:axId val="151772976"/>
      </c:lineChart>
      <c:catAx>
        <c:axId val="15177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772976"/>
        <c:crosses val="autoZero"/>
        <c:auto val="1"/>
        <c:lblAlgn val="ctr"/>
        <c:lblOffset val="100"/>
        <c:noMultiLvlLbl val="0"/>
      </c:catAx>
      <c:valAx>
        <c:axId val="15177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77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Hoja1!$J$102:$J$111</c:f>
              <c:numCache>
                <c:formatCode>0.000%</c:formatCode>
                <c:ptCount val="10"/>
                <c:pt idx="1">
                  <c:v>4.7619047619047616E-2</c:v>
                </c:pt>
                <c:pt idx="2">
                  <c:v>5.0909090909090911E-2</c:v>
                </c:pt>
                <c:pt idx="3">
                  <c:v>4.6712802768166091E-2</c:v>
                </c:pt>
                <c:pt idx="4">
                  <c:v>4.9586776859504134E-2</c:v>
                </c:pt>
                <c:pt idx="5">
                  <c:v>4.7244094488188976E-2</c:v>
                </c:pt>
                <c:pt idx="6">
                  <c:v>4.9624060150375938E-2</c:v>
                </c:pt>
                <c:pt idx="7">
                  <c:v>5.0143266475644696E-2</c:v>
                </c:pt>
                <c:pt idx="8">
                  <c:v>4.9113233287858118E-2</c:v>
                </c:pt>
                <c:pt idx="9">
                  <c:v>4.94148244473342E-2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8-4F63-8F65-F7D7870093E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Hoja1!$K$102:$K$111</c:f>
              <c:numCache>
                <c:formatCode>0.000%</c:formatCode>
                <c:ptCount val="10"/>
                <c:pt idx="1">
                  <c:v>-3.9215686274509665E-2</c:v>
                </c:pt>
                <c:pt idx="2">
                  <c:v>-3.0612244897959252E-2</c:v>
                </c:pt>
                <c:pt idx="3">
                  <c:v>-3.157894736842113E-2</c:v>
                </c:pt>
                <c:pt idx="4">
                  <c:v>-4.3478260869565064E-2</c:v>
                </c:pt>
                <c:pt idx="5">
                  <c:v>-3.4090909090909172E-2</c:v>
                </c:pt>
                <c:pt idx="6">
                  <c:v>-4.7058823529411806E-2</c:v>
                </c:pt>
                <c:pt idx="7">
                  <c:v>-4.9382716049382651E-2</c:v>
                </c:pt>
                <c:pt idx="8">
                  <c:v>-5.1948051948051993E-2</c:v>
                </c:pt>
                <c:pt idx="9">
                  <c:v>-0.47945205479452058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8-4F63-8F65-F7D787009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71056"/>
        <c:axId val="151771536"/>
      </c:lineChart>
      <c:catAx>
        <c:axId val="15177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771536"/>
        <c:crosses val="autoZero"/>
        <c:auto val="1"/>
        <c:lblAlgn val="ctr"/>
        <c:lblOffset val="100"/>
        <c:noMultiLvlLbl val="0"/>
      </c:catAx>
      <c:valAx>
        <c:axId val="1517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77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Hoja1!$A$177</c:f>
              <c:strCache>
                <c:ptCount val="1"/>
                <c:pt idx="0">
                  <c:v>Mín.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Hoja1!$B$176:$F$176</c:f>
              <c:numCache>
                <c:formatCode>General</c:formatCode>
                <c:ptCount val="5"/>
                <c:pt idx="0" formatCode="&quot;$&quot;#,##0_);[Red]\(&quot;$&quot;#,##0\)">
                  <c:v>7911.6742857142872</c:v>
                </c:pt>
                <c:pt idx="1">
                  <c:v>6.5</c:v>
                </c:pt>
                <c:pt idx="2">
                  <c:v>852</c:v>
                </c:pt>
                <c:pt idx="3">
                  <c:v>0</c:v>
                </c:pt>
                <c:pt idx="4" formatCode="&quot;$&quot;#,##0_);[Red]\(&quot;$&quot;#,##0\)">
                  <c:v>6740746.4914285727</c:v>
                </c:pt>
              </c:numCache>
            </c:numRef>
          </c:cat>
          <c:val>
            <c:numRef>
              <c:f>Hoja1!$B$177:$F$177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0.3</c:v>
                </c:pt>
                <c:pt idx="3">
                  <c:v>3.8</c:v>
                </c:pt>
                <c:pt idx="4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6-4677-859E-B85CCA2B2AC5}"/>
            </c:ext>
          </c:extLst>
        </c:ser>
        <c:ser>
          <c:idx val="1"/>
          <c:order val="1"/>
          <c:tx>
            <c:strRef>
              <c:f>Hoja1!$A$178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Hoja1!$B$176:$F$176</c:f>
              <c:numCache>
                <c:formatCode>General</c:formatCode>
                <c:ptCount val="5"/>
                <c:pt idx="0" formatCode="&quot;$&quot;#,##0_);[Red]\(&quot;$&quot;#,##0\)">
                  <c:v>7911.6742857142872</c:v>
                </c:pt>
                <c:pt idx="1">
                  <c:v>6.5</c:v>
                </c:pt>
                <c:pt idx="2">
                  <c:v>852</c:v>
                </c:pt>
                <c:pt idx="3">
                  <c:v>0</c:v>
                </c:pt>
                <c:pt idx="4" formatCode="&quot;$&quot;#,##0_);[Red]\(&quot;$&quot;#,##0\)">
                  <c:v>6740746.4914285727</c:v>
                </c:pt>
              </c:numCache>
            </c:numRef>
          </c:cat>
          <c:val>
            <c:numRef>
              <c:f>Hoja1!$B$178:$F$178</c:f>
              <c:numCache>
                <c:formatCode>General</c:formatCode>
                <c:ptCount val="5"/>
                <c:pt idx="0">
                  <c:v>3.4</c:v>
                </c:pt>
                <c:pt idx="1">
                  <c:v>11.95</c:v>
                </c:pt>
                <c:pt idx="2">
                  <c:v>24</c:v>
                </c:pt>
                <c:pt idx="3">
                  <c:v>8.1999999999999993</c:v>
                </c:pt>
                <c:pt idx="4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C6-4677-859E-B85CCA2B2AC5}"/>
            </c:ext>
          </c:extLst>
        </c:ser>
        <c:ser>
          <c:idx val="2"/>
          <c:order val="2"/>
          <c:tx>
            <c:strRef>
              <c:f>Hoja1!$A$179</c:f>
              <c:strCache>
                <c:ptCount val="1"/>
                <c:pt idx="0">
                  <c:v>Máx.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Hoja1!$B$176:$F$176</c:f>
              <c:numCache>
                <c:formatCode>General</c:formatCode>
                <c:ptCount val="5"/>
                <c:pt idx="0" formatCode="&quot;$&quot;#,##0_);[Red]\(&quot;$&quot;#,##0\)">
                  <c:v>7911.6742857142872</c:v>
                </c:pt>
                <c:pt idx="1">
                  <c:v>6.5</c:v>
                </c:pt>
                <c:pt idx="2">
                  <c:v>852</c:v>
                </c:pt>
                <c:pt idx="3">
                  <c:v>0</c:v>
                </c:pt>
                <c:pt idx="4" formatCode="&quot;$&quot;#,##0_);[Red]\(&quot;$&quot;#,##0\)">
                  <c:v>6740746.4914285727</c:v>
                </c:pt>
              </c:numCache>
            </c:numRef>
          </c:cat>
          <c:val>
            <c:numRef>
              <c:f>Hoja1!$B$179:$F$179</c:f>
              <c:numCache>
                <c:formatCode>General</c:formatCode>
                <c:ptCount val="5"/>
                <c:pt idx="0">
                  <c:v>41.7</c:v>
                </c:pt>
                <c:pt idx="1">
                  <c:v>41.7</c:v>
                </c:pt>
                <c:pt idx="2">
                  <c:v>4.7</c:v>
                </c:pt>
                <c:pt idx="3">
                  <c:v>10.8</c:v>
                </c:pt>
                <c:pt idx="4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C6-4677-859E-B85CCA2B2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905632"/>
        <c:axId val="23908032"/>
      </c:barChart>
      <c:catAx>
        <c:axId val="23905632"/>
        <c:scaling>
          <c:orientation val="minMax"/>
        </c:scaling>
        <c:delete val="0"/>
        <c:axPos val="b"/>
        <c:numFmt formatCode="&quot;$&quot;#,##0_);[Red]\(&quot;$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908032"/>
        <c:crosses val="autoZero"/>
        <c:auto val="1"/>
        <c:lblAlgn val="ctr"/>
        <c:lblOffset val="100"/>
        <c:noMultiLvlLbl val="0"/>
      </c:catAx>
      <c:valAx>
        <c:axId val="2390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90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537883</xdr:colOff>
      <xdr:row>53</xdr:row>
      <xdr:rowOff>1052606</xdr:rowOff>
    </xdr:from>
    <xdr:to>
      <xdr:col>7</xdr:col>
      <xdr:colOff>366059</xdr:colOff>
      <xdr:row>58</xdr:row>
      <xdr:rowOff>53041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99AEF2-3D8B-A36D-366C-B61C91BC0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149679</xdr:colOff>
      <xdr:row>47</xdr:row>
      <xdr:rowOff>297543</xdr:rowOff>
    </xdr:from>
    <xdr:to>
      <xdr:col>9</xdr:col>
      <xdr:colOff>358322</xdr:colOff>
      <xdr:row>53</xdr:row>
      <xdr:rowOff>899886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A16A2C-6E68-00B4-0252-54BF3F606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149679</xdr:colOff>
      <xdr:row>77</xdr:row>
      <xdr:rowOff>388257</xdr:rowOff>
    </xdr:from>
    <xdr:to>
      <xdr:col>9</xdr:col>
      <xdr:colOff>358322</xdr:colOff>
      <xdr:row>80</xdr:row>
      <xdr:rowOff>328385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016B3B4-4D1A-E9FE-9AB0-39091B04D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254001</xdr:colOff>
      <xdr:row>109</xdr:row>
      <xdr:rowOff>140855</xdr:rowOff>
    </xdr:from>
    <xdr:to>
      <xdr:col>17</xdr:col>
      <xdr:colOff>207819</xdr:colOff>
      <xdr:row>122</xdr:row>
      <xdr:rowOff>113146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1F12A0-04CF-A76C-9002-2A526A205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1385454</xdr:colOff>
      <xdr:row>97</xdr:row>
      <xdr:rowOff>140855</xdr:rowOff>
    </xdr:from>
    <xdr:to>
      <xdr:col>16</xdr:col>
      <xdr:colOff>681181</xdr:colOff>
      <xdr:row>110</xdr:row>
      <xdr:rowOff>113145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B48664C-B3F0-EE2C-7C31-9A5E5764C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996519</xdr:colOff>
      <xdr:row>163</xdr:row>
      <xdr:rowOff>87457</xdr:rowOff>
    </xdr:from>
    <xdr:to>
      <xdr:col>18</xdr:col>
      <xdr:colOff>201325</xdr:colOff>
      <xdr:row>174</xdr:row>
      <xdr:rowOff>481157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325BDC7-E776-27F1-A6AF-E023FA496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1082C-C37A-4858-BDA2-C851D00BD73D}">
  <dimension ref="A1:T397"/>
  <sheetViews>
    <sheetView tabSelected="1" topLeftCell="A294" zoomScale="70" zoomScaleNormal="70" workbookViewId="0">
      <selection activeCell="F333" sqref="F333"/>
    </sheetView>
  </sheetViews>
  <sheetFormatPr baseColWidth="10" defaultRowHeight="14.5" x14ac:dyDescent="0.35"/>
  <cols>
    <col min="1" max="1" width="20.08984375" customWidth="1"/>
    <col min="2" max="2" width="12.81640625" bestFit="1" customWidth="1"/>
    <col min="3" max="3" width="17" bestFit="1" customWidth="1"/>
    <col min="4" max="4" width="15.90625" bestFit="1" customWidth="1"/>
    <col min="5" max="6" width="27.453125" bestFit="1" customWidth="1"/>
    <col min="7" max="7" width="29.1796875" bestFit="1" customWidth="1"/>
    <col min="8" max="8" width="28.90625" bestFit="1" customWidth="1"/>
    <col min="9" max="9" width="18.90625" bestFit="1" customWidth="1"/>
    <col min="10" max="10" width="22.36328125" bestFit="1" customWidth="1"/>
    <col min="11" max="11" width="20.36328125" bestFit="1" customWidth="1"/>
    <col min="12" max="12" width="23.36328125" bestFit="1" customWidth="1"/>
    <col min="13" max="13" width="17.1796875" bestFit="1" customWidth="1"/>
    <col min="14" max="14" width="16.1796875" bestFit="1" customWidth="1"/>
    <col min="15" max="15" width="19.7265625" bestFit="1" customWidth="1"/>
    <col min="17" max="17" width="17" bestFit="1" customWidth="1"/>
  </cols>
  <sheetData>
    <row r="1" spans="1:8" x14ac:dyDescent="0.35">
      <c r="A1" s="62" t="s">
        <v>0</v>
      </c>
      <c r="B1" s="62"/>
      <c r="C1" s="62"/>
      <c r="D1" s="62"/>
      <c r="E1" s="62"/>
      <c r="F1" s="62"/>
      <c r="G1" s="62"/>
      <c r="H1" s="62"/>
    </row>
    <row r="2" spans="1:8" x14ac:dyDescent="0.35">
      <c r="A2" t="s">
        <v>1</v>
      </c>
      <c r="B2" t="s">
        <v>2</v>
      </c>
      <c r="C2" t="s">
        <v>11</v>
      </c>
      <c r="D2" t="s">
        <v>3</v>
      </c>
      <c r="E2" t="s">
        <v>12</v>
      </c>
      <c r="F2" t="s">
        <v>13</v>
      </c>
      <c r="G2" t="s">
        <v>10</v>
      </c>
      <c r="H2" t="s">
        <v>9</v>
      </c>
    </row>
    <row r="3" spans="1:8" x14ac:dyDescent="0.35">
      <c r="A3" t="s">
        <v>5</v>
      </c>
      <c r="B3">
        <v>160.69999999999999</v>
      </c>
      <c r="C3">
        <v>131.4</v>
      </c>
      <c r="D3">
        <v>119.3</v>
      </c>
      <c r="E3">
        <v>116</v>
      </c>
      <c r="F3">
        <v>923.67</v>
      </c>
      <c r="G3">
        <v>104</v>
      </c>
      <c r="H3">
        <v>153</v>
      </c>
    </row>
    <row r="4" spans="1:8" x14ac:dyDescent="0.35">
      <c r="A4" t="s">
        <v>6</v>
      </c>
      <c r="B4" s="1">
        <v>5798</v>
      </c>
      <c r="C4" s="1">
        <v>5143</v>
      </c>
      <c r="D4" s="1">
        <v>5390</v>
      </c>
      <c r="E4" s="1">
        <f>E5/E3</f>
        <v>1568.9655172413793</v>
      </c>
      <c r="F4" s="1">
        <f>F5/F3</f>
        <v>16236.970996134984</v>
      </c>
      <c r="G4" s="1">
        <v>8097.3325641025631</v>
      </c>
      <c r="H4" s="1">
        <v>7532</v>
      </c>
    </row>
    <row r="5" spans="1:8" x14ac:dyDescent="0.35">
      <c r="A5" t="s">
        <v>7</v>
      </c>
      <c r="B5" s="1">
        <v>1020350</v>
      </c>
      <c r="C5" s="1">
        <v>1126415</v>
      </c>
      <c r="D5" s="1">
        <v>671206</v>
      </c>
      <c r="E5" s="1">
        <v>182000</v>
      </c>
      <c r="F5" s="1">
        <v>14997603</v>
      </c>
      <c r="G5" s="1">
        <v>842122.58666666655</v>
      </c>
      <c r="H5" s="1">
        <v>1072938</v>
      </c>
    </row>
    <row r="6" spans="1:8" x14ac:dyDescent="0.35">
      <c r="A6" t="s">
        <v>8</v>
      </c>
      <c r="B6">
        <v>3.4</v>
      </c>
      <c r="C6">
        <v>18.399999999999999</v>
      </c>
      <c r="D6">
        <v>4.7</v>
      </c>
      <c r="E6">
        <v>0</v>
      </c>
      <c r="F6">
        <v>5</v>
      </c>
      <c r="G6">
        <v>3</v>
      </c>
    </row>
    <row r="13" spans="1:8" x14ac:dyDescent="0.35">
      <c r="A13" t="s">
        <v>4</v>
      </c>
    </row>
    <row r="19" spans="1:6" x14ac:dyDescent="0.35">
      <c r="A19" s="4" t="s">
        <v>14</v>
      </c>
      <c r="B19" s="4" t="s">
        <v>32</v>
      </c>
      <c r="C19" s="4" t="s">
        <v>15</v>
      </c>
    </row>
    <row r="20" spans="1:6" ht="43.5" x14ac:dyDescent="0.35">
      <c r="A20" s="5" t="s">
        <v>33</v>
      </c>
      <c r="B20" s="5" t="s">
        <v>17</v>
      </c>
      <c r="C20" s="5" t="s">
        <v>16</v>
      </c>
    </row>
    <row r="21" spans="1:6" ht="43.5" x14ac:dyDescent="0.35">
      <c r="A21" s="5" t="s">
        <v>34</v>
      </c>
      <c r="B21" s="5" t="s">
        <v>35</v>
      </c>
      <c r="C21" s="5" t="s">
        <v>18</v>
      </c>
    </row>
    <row r="22" spans="1:6" ht="43.5" x14ac:dyDescent="0.35">
      <c r="A22" s="5" t="s">
        <v>36</v>
      </c>
      <c r="B22" s="5" t="s">
        <v>37</v>
      </c>
      <c r="C22" s="5" t="s">
        <v>18</v>
      </c>
    </row>
    <row r="23" spans="1:6" ht="72.5" x14ac:dyDescent="0.35">
      <c r="A23" s="5" t="s">
        <v>38</v>
      </c>
      <c r="B23" s="5" t="s">
        <v>39</v>
      </c>
      <c r="C23" s="5" t="s">
        <v>18</v>
      </c>
    </row>
    <row r="24" spans="1:6" ht="43.5" x14ac:dyDescent="0.35">
      <c r="A24" s="5" t="s">
        <v>19</v>
      </c>
      <c r="B24" s="5" t="s">
        <v>40</v>
      </c>
      <c r="C24" s="5" t="s">
        <v>20</v>
      </c>
    </row>
    <row r="25" spans="1:6" ht="58" x14ac:dyDescent="0.35">
      <c r="A25" s="5" t="s">
        <v>21</v>
      </c>
      <c r="B25" s="5" t="s">
        <v>41</v>
      </c>
      <c r="C25" s="5" t="s">
        <v>20</v>
      </c>
    </row>
    <row r="28" spans="1:6" ht="29" x14ac:dyDescent="0.35">
      <c r="A28" s="4" t="s">
        <v>14</v>
      </c>
      <c r="B28" s="7" t="s">
        <v>42</v>
      </c>
      <c r="C28" s="7" t="s">
        <v>22</v>
      </c>
      <c r="D28" s="4" t="s">
        <v>23</v>
      </c>
      <c r="E28" s="7" t="s">
        <v>24</v>
      </c>
      <c r="F28" s="4" t="s">
        <v>25</v>
      </c>
    </row>
    <row r="29" spans="1:6" ht="29" x14ac:dyDescent="0.35">
      <c r="A29" s="8" t="s">
        <v>26</v>
      </c>
      <c r="B29" s="6">
        <v>5.72</v>
      </c>
      <c r="C29" s="6">
        <v>1.34</v>
      </c>
      <c r="D29" s="3" t="s">
        <v>27</v>
      </c>
      <c r="E29" s="6">
        <v>6.0000000000000001E-3</v>
      </c>
      <c r="F29" s="5" t="s">
        <v>43</v>
      </c>
    </row>
    <row r="30" spans="1:6" ht="29" x14ac:dyDescent="0.35">
      <c r="A30" s="8" t="s">
        <v>29</v>
      </c>
      <c r="B30" s="6">
        <v>0.61</v>
      </c>
      <c r="C30" s="6">
        <v>0.2</v>
      </c>
      <c r="D30" s="4" t="s">
        <v>27</v>
      </c>
      <c r="E30" s="7">
        <v>1.4E-2</v>
      </c>
      <c r="F30" s="5" t="s">
        <v>44</v>
      </c>
    </row>
    <row r="31" spans="1:6" ht="43.5" x14ac:dyDescent="0.35">
      <c r="A31" s="8" t="s">
        <v>30</v>
      </c>
      <c r="B31" s="6" t="s">
        <v>45</v>
      </c>
      <c r="C31" s="6">
        <v>0.02</v>
      </c>
      <c r="D31" s="4" t="s">
        <v>28</v>
      </c>
      <c r="E31" s="7">
        <v>3.6999999999999998E-2</v>
      </c>
      <c r="F31" s="5" t="s">
        <v>46</v>
      </c>
    </row>
    <row r="32" spans="1:6" ht="29" x14ac:dyDescent="0.35">
      <c r="A32" s="8" t="s">
        <v>47</v>
      </c>
      <c r="B32" s="6">
        <v>0.27</v>
      </c>
      <c r="C32" s="6">
        <v>0.09</v>
      </c>
      <c r="D32" s="4" t="s">
        <v>27</v>
      </c>
      <c r="E32" s="7">
        <v>2.1000000000000001E-2</v>
      </c>
      <c r="F32" s="5" t="s">
        <v>48</v>
      </c>
    </row>
    <row r="33" spans="1:6" ht="43.5" x14ac:dyDescent="0.35">
      <c r="A33" s="8" t="s">
        <v>31</v>
      </c>
      <c r="B33" s="6">
        <v>0.33</v>
      </c>
      <c r="C33" s="6">
        <v>0.12</v>
      </c>
      <c r="D33" s="4" t="s">
        <v>27</v>
      </c>
      <c r="E33" s="7">
        <v>0.04</v>
      </c>
      <c r="F33" s="5" t="s">
        <v>49</v>
      </c>
    </row>
    <row r="34" spans="1:6" ht="29" x14ac:dyDescent="0.35">
      <c r="A34" s="8" t="s">
        <v>50</v>
      </c>
      <c r="B34" s="6">
        <v>0.22</v>
      </c>
      <c r="C34" s="6">
        <v>0.18</v>
      </c>
      <c r="D34" s="3" t="s">
        <v>27</v>
      </c>
      <c r="E34" s="6">
        <v>0.28999999999999998</v>
      </c>
      <c r="F34" s="5" t="s">
        <v>51</v>
      </c>
    </row>
    <row r="46" spans="1:6" ht="76.5" x14ac:dyDescent="0.55000000000000004">
      <c r="A46" s="9" t="s">
        <v>52</v>
      </c>
      <c r="B46" s="10" t="s">
        <v>53</v>
      </c>
      <c r="C46" s="10" t="s">
        <v>54</v>
      </c>
      <c r="D46" s="10" t="s">
        <v>55</v>
      </c>
      <c r="E46" s="10" t="s">
        <v>56</v>
      </c>
      <c r="F46" s="10" t="s">
        <v>57</v>
      </c>
    </row>
    <row r="47" spans="1:6" ht="25.5" x14ac:dyDescent="0.55000000000000004">
      <c r="A47" s="9" t="s">
        <v>58</v>
      </c>
      <c r="B47" s="11">
        <v>1568</v>
      </c>
      <c r="C47" s="11">
        <v>2892</v>
      </c>
      <c r="D47" s="11">
        <v>2892</v>
      </c>
      <c r="E47" s="11">
        <v>5100</v>
      </c>
      <c r="F47" s="11">
        <v>4600</v>
      </c>
    </row>
    <row r="48" spans="1:6" ht="51" x14ac:dyDescent="0.55000000000000004">
      <c r="A48" s="9" t="s">
        <v>59</v>
      </c>
      <c r="B48" s="11">
        <v>5798</v>
      </c>
      <c r="C48" s="11">
        <v>5143</v>
      </c>
      <c r="D48" s="12">
        <v>5390</v>
      </c>
      <c r="E48" s="11">
        <v>5300</v>
      </c>
      <c r="F48" s="11">
        <v>7532</v>
      </c>
    </row>
    <row r="49" spans="1:14" ht="25.5" x14ac:dyDescent="0.55000000000000004">
      <c r="A49" s="9" t="s">
        <v>60</v>
      </c>
      <c r="B49" s="11">
        <v>16215</v>
      </c>
      <c r="C49" s="12">
        <v>11800</v>
      </c>
      <c r="D49" s="11">
        <v>11000</v>
      </c>
      <c r="E49" s="11">
        <v>5500</v>
      </c>
      <c r="F49" s="11">
        <v>10350</v>
      </c>
    </row>
    <row r="53" spans="1:14" ht="49.5" customHeight="1" x14ac:dyDescent="0.95">
      <c r="A53" s="63" t="s">
        <v>61</v>
      </c>
      <c r="B53" s="64"/>
      <c r="C53" s="64"/>
      <c r="D53" s="64"/>
      <c r="E53" s="64"/>
      <c r="F53" s="65"/>
      <c r="I53" s="63" t="s">
        <v>61</v>
      </c>
      <c r="J53" s="64"/>
      <c r="K53" s="64"/>
      <c r="L53" s="64"/>
      <c r="M53" s="64"/>
      <c r="N53" s="65"/>
    </row>
    <row r="54" spans="1:14" ht="127.5" x14ac:dyDescent="0.55000000000000004">
      <c r="A54" s="9" t="s">
        <v>52</v>
      </c>
      <c r="B54" s="10" t="s">
        <v>53</v>
      </c>
      <c r="C54" s="10" t="s">
        <v>54</v>
      </c>
      <c r="D54" s="10" t="s">
        <v>55</v>
      </c>
      <c r="E54" s="10" t="s">
        <v>56</v>
      </c>
      <c r="F54" s="10" t="s">
        <v>57</v>
      </c>
      <c r="I54" s="9" t="s">
        <v>52</v>
      </c>
      <c r="J54" s="10" t="s">
        <v>53</v>
      </c>
      <c r="K54" s="10" t="s">
        <v>54</v>
      </c>
      <c r="L54" s="10" t="s">
        <v>55</v>
      </c>
      <c r="M54" s="10" t="s">
        <v>56</v>
      </c>
      <c r="N54" s="10" t="s">
        <v>57</v>
      </c>
    </row>
    <row r="55" spans="1:14" ht="25.5" x14ac:dyDescent="0.55000000000000004">
      <c r="A55" s="9" t="s">
        <v>58</v>
      </c>
      <c r="B55" s="10">
        <v>96</v>
      </c>
      <c r="C55" s="10">
        <v>96</v>
      </c>
      <c r="D55" s="10">
        <v>102</v>
      </c>
      <c r="E55" s="10">
        <v>112</v>
      </c>
      <c r="F55" s="10">
        <v>103.4</v>
      </c>
      <c r="I55" s="9" t="s">
        <v>58</v>
      </c>
      <c r="J55" s="11">
        <f>B55*B47</f>
        <v>150528</v>
      </c>
      <c r="K55" s="11">
        <f t="shared" ref="K55:M57" si="0">C55*C47</f>
        <v>277632</v>
      </c>
      <c r="L55" s="11">
        <f t="shared" si="0"/>
        <v>294984</v>
      </c>
      <c r="M55" s="11">
        <f t="shared" si="0"/>
        <v>571200</v>
      </c>
      <c r="N55" s="10">
        <v>103.4</v>
      </c>
    </row>
    <row r="56" spans="1:14" ht="76.5" x14ac:dyDescent="0.55000000000000004">
      <c r="A56" s="9" t="s">
        <v>59</v>
      </c>
      <c r="B56" s="10">
        <v>160.69999999999999</v>
      </c>
      <c r="C56" s="10">
        <v>131.4</v>
      </c>
      <c r="D56" s="10">
        <v>119.3</v>
      </c>
      <c r="E56" s="10">
        <v>120</v>
      </c>
      <c r="F56" s="10">
        <v>153</v>
      </c>
      <c r="I56" s="9" t="s">
        <v>59</v>
      </c>
      <c r="J56" s="11">
        <f t="shared" ref="J56:J57" si="1">B56*B48</f>
        <v>931738.6</v>
      </c>
      <c r="K56" s="11">
        <f t="shared" si="0"/>
        <v>675790.20000000007</v>
      </c>
      <c r="L56" s="11">
        <f t="shared" si="0"/>
        <v>643027</v>
      </c>
      <c r="M56" s="11">
        <f t="shared" si="0"/>
        <v>636000</v>
      </c>
      <c r="N56" s="10">
        <v>153</v>
      </c>
    </row>
    <row r="57" spans="1:14" ht="25.5" x14ac:dyDescent="0.55000000000000004">
      <c r="A57" s="9" t="s">
        <v>60</v>
      </c>
      <c r="B57" s="10">
        <v>923</v>
      </c>
      <c r="C57" s="10">
        <v>312</v>
      </c>
      <c r="D57" s="10">
        <v>198</v>
      </c>
      <c r="E57" s="10">
        <v>127</v>
      </c>
      <c r="F57" s="10">
        <v>795</v>
      </c>
      <c r="I57" s="9" t="s">
        <v>60</v>
      </c>
      <c r="J57" s="11">
        <f t="shared" si="1"/>
        <v>14966445</v>
      </c>
      <c r="K57" s="11">
        <f t="shared" si="0"/>
        <v>3681600</v>
      </c>
      <c r="L57" s="11">
        <f t="shared" si="0"/>
        <v>2178000</v>
      </c>
      <c r="M57" s="11">
        <f t="shared" si="0"/>
        <v>698500</v>
      </c>
      <c r="N57" s="10">
        <v>795</v>
      </c>
    </row>
    <row r="59" spans="1:14" ht="29" x14ac:dyDescent="0.35">
      <c r="A59" s="7" t="s">
        <v>62</v>
      </c>
      <c r="B59" s="7" t="s">
        <v>63</v>
      </c>
      <c r="C59" s="7" t="s">
        <v>64</v>
      </c>
      <c r="D59" s="7" t="s">
        <v>65</v>
      </c>
      <c r="E59" s="7" t="s">
        <v>66</v>
      </c>
      <c r="F59" s="7" t="s">
        <v>67</v>
      </c>
      <c r="G59" s="7" t="s">
        <v>68</v>
      </c>
    </row>
    <row r="60" spans="1:14" x14ac:dyDescent="0.35">
      <c r="A60" s="16" t="s">
        <v>69</v>
      </c>
      <c r="B60" s="13">
        <v>5300</v>
      </c>
      <c r="C60" s="6">
        <v>10.199999999999999</v>
      </c>
      <c r="D60" s="15">
        <v>1224</v>
      </c>
      <c r="E60" s="6">
        <v>878</v>
      </c>
      <c r="F60" s="13">
        <f t="shared" ref="F60:F69" si="2">D60*B60</f>
        <v>6487200</v>
      </c>
      <c r="G60" s="1">
        <f>F60/((1+0.0033)^H60)</f>
        <v>6465862.6532442933</v>
      </c>
      <c r="H60">
        <v>1</v>
      </c>
    </row>
    <row r="61" spans="1:14" x14ac:dyDescent="0.35">
      <c r="A61" s="16" t="s">
        <v>70</v>
      </c>
      <c r="B61" s="13">
        <v>5500</v>
      </c>
      <c r="C61" s="6">
        <v>9.8000000000000007</v>
      </c>
      <c r="D61" s="15">
        <v>1176</v>
      </c>
      <c r="E61" s="6">
        <v>760</v>
      </c>
      <c r="F61" s="13">
        <f t="shared" si="2"/>
        <v>6468000</v>
      </c>
      <c r="G61" s="1">
        <f t="shared" ref="G61:G69" si="3">F61/((1+0.0033)^H61)</f>
        <v>6425521.5836180737</v>
      </c>
      <c r="H61">
        <v>2</v>
      </c>
    </row>
    <row r="62" spans="1:14" x14ac:dyDescent="0.35">
      <c r="A62" s="16" t="s">
        <v>71</v>
      </c>
      <c r="B62" s="13">
        <v>5780</v>
      </c>
      <c r="C62" s="6">
        <v>9.5</v>
      </c>
      <c r="D62" s="15">
        <v>1140</v>
      </c>
      <c r="E62" s="6">
        <v>646</v>
      </c>
      <c r="F62" s="13">
        <f t="shared" si="2"/>
        <v>6589200</v>
      </c>
      <c r="G62" s="1">
        <f t="shared" si="3"/>
        <v>6524395.1020346852</v>
      </c>
      <c r="H62">
        <v>3</v>
      </c>
    </row>
    <row r="63" spans="1:14" x14ac:dyDescent="0.35">
      <c r="A63" s="16" t="s">
        <v>72</v>
      </c>
      <c r="B63" s="13">
        <v>6050</v>
      </c>
      <c r="C63" s="6">
        <v>9.1999999999999993</v>
      </c>
      <c r="D63" s="15">
        <v>1104</v>
      </c>
      <c r="E63" s="6">
        <v>536</v>
      </c>
      <c r="F63" s="13">
        <f t="shared" si="2"/>
        <v>6679200</v>
      </c>
      <c r="G63" s="1">
        <f t="shared" si="3"/>
        <v>6591757.1518496433</v>
      </c>
      <c r="H63">
        <v>4</v>
      </c>
    </row>
    <row r="64" spans="1:14" x14ac:dyDescent="0.35">
      <c r="A64" s="16" t="s">
        <v>73</v>
      </c>
      <c r="B64" s="13">
        <v>6350</v>
      </c>
      <c r="C64" s="6">
        <v>8.8000000000000007</v>
      </c>
      <c r="D64" s="15">
        <v>1056</v>
      </c>
      <c r="E64" s="6">
        <v>430</v>
      </c>
      <c r="F64" s="13">
        <f t="shared" si="2"/>
        <v>6705600</v>
      </c>
      <c r="G64" s="1">
        <f t="shared" si="3"/>
        <v>6596044.5808271803</v>
      </c>
      <c r="H64">
        <v>5</v>
      </c>
    </row>
    <row r="65" spans="1:11" x14ac:dyDescent="0.35">
      <c r="A65" s="16" t="s">
        <v>74</v>
      </c>
      <c r="B65" s="13">
        <v>6650</v>
      </c>
      <c r="C65" s="6">
        <v>8.5</v>
      </c>
      <c r="D65" s="15">
        <v>1020</v>
      </c>
      <c r="E65" s="6">
        <v>328</v>
      </c>
      <c r="F65" s="13">
        <f t="shared" si="2"/>
        <v>6783000</v>
      </c>
      <c r="G65" s="1">
        <f t="shared" si="3"/>
        <v>6650234.2543631848</v>
      </c>
      <c r="H65">
        <v>6</v>
      </c>
    </row>
    <row r="66" spans="1:11" x14ac:dyDescent="0.35">
      <c r="A66" s="16" t="s">
        <v>75</v>
      </c>
      <c r="B66" s="13">
        <v>6980</v>
      </c>
      <c r="C66" s="6">
        <v>8.1</v>
      </c>
      <c r="D66" s="6">
        <v>972</v>
      </c>
      <c r="E66" s="6">
        <v>230</v>
      </c>
      <c r="F66" s="13">
        <f t="shared" si="2"/>
        <v>6784560</v>
      </c>
      <c r="G66" s="1">
        <f t="shared" si="3"/>
        <v>6629885.0991760045</v>
      </c>
      <c r="H66">
        <v>7</v>
      </c>
    </row>
    <row r="67" spans="1:11" x14ac:dyDescent="0.35">
      <c r="A67" s="16" t="s">
        <v>76</v>
      </c>
      <c r="B67" s="13">
        <v>7330</v>
      </c>
      <c r="C67" s="6">
        <v>7.7</v>
      </c>
      <c r="D67" s="6">
        <v>924</v>
      </c>
      <c r="E67" s="6">
        <v>136</v>
      </c>
      <c r="F67" s="13">
        <f t="shared" si="2"/>
        <v>6772920</v>
      </c>
      <c r="G67" s="1">
        <f t="shared" si="3"/>
        <v>6596741.2227221858</v>
      </c>
      <c r="H67">
        <v>8</v>
      </c>
    </row>
    <row r="68" spans="1:11" x14ac:dyDescent="0.35">
      <c r="A68" s="16" t="s">
        <v>77</v>
      </c>
      <c r="B68" s="13">
        <v>7690</v>
      </c>
      <c r="C68" s="6">
        <v>7.3</v>
      </c>
      <c r="D68" s="6">
        <v>876</v>
      </c>
      <c r="E68" s="6">
        <v>45</v>
      </c>
      <c r="F68" s="13">
        <f t="shared" si="2"/>
        <v>6736440</v>
      </c>
      <c r="G68" s="1">
        <f t="shared" si="3"/>
        <v>6539629.3720765123</v>
      </c>
      <c r="H68">
        <v>9</v>
      </c>
    </row>
    <row r="69" spans="1:11" x14ac:dyDescent="0.35">
      <c r="A69" s="16" t="s">
        <v>78</v>
      </c>
      <c r="B69" s="13">
        <v>8070</v>
      </c>
      <c r="C69" s="6">
        <v>3.8</v>
      </c>
      <c r="D69" s="6">
        <v>456</v>
      </c>
      <c r="E69" s="6">
        <v>0</v>
      </c>
      <c r="F69" s="13">
        <f t="shared" si="2"/>
        <v>3679920</v>
      </c>
      <c r="G69" s="1">
        <f t="shared" si="3"/>
        <v>3560657.9432944637</v>
      </c>
      <c r="H69">
        <v>10</v>
      </c>
    </row>
    <row r="71" spans="1:11" x14ac:dyDescent="0.35">
      <c r="C71">
        <f>AVERAGE(C60:C69)</f>
        <v>8.2899999999999991</v>
      </c>
    </row>
    <row r="78" spans="1:11" ht="49.5" customHeight="1" x14ac:dyDescent="0.95">
      <c r="A78" s="4" t="s">
        <v>14</v>
      </c>
      <c r="B78" s="4" t="s">
        <v>79</v>
      </c>
      <c r="C78" s="4" t="s">
        <v>80</v>
      </c>
      <c r="D78" s="4" t="s">
        <v>81</v>
      </c>
      <c r="F78" s="63" t="s">
        <v>114</v>
      </c>
      <c r="G78" s="64"/>
      <c r="H78" s="64"/>
      <c r="I78" s="64"/>
      <c r="J78" s="64"/>
      <c r="K78" s="65"/>
    </row>
    <row r="79" spans="1:11" ht="127.5" x14ac:dyDescent="0.55000000000000004">
      <c r="A79" s="5" t="s">
        <v>82</v>
      </c>
      <c r="B79" s="5" t="s">
        <v>83</v>
      </c>
      <c r="C79" s="5" t="s">
        <v>84</v>
      </c>
      <c r="D79" s="5" t="s">
        <v>85</v>
      </c>
      <c r="F79" s="10" t="s">
        <v>52</v>
      </c>
      <c r="G79" s="10" t="s">
        <v>53</v>
      </c>
      <c r="H79" s="10" t="s">
        <v>54</v>
      </c>
      <c r="I79" s="10" t="s">
        <v>55</v>
      </c>
      <c r="J79" s="10" t="s">
        <v>56</v>
      </c>
      <c r="K79" s="10" t="s">
        <v>57</v>
      </c>
    </row>
    <row r="80" spans="1:11" ht="29" x14ac:dyDescent="0.55000000000000004">
      <c r="A80" s="5" t="s">
        <v>86</v>
      </c>
      <c r="B80" s="5" t="s">
        <v>87</v>
      </c>
      <c r="C80" s="8" t="s">
        <v>113</v>
      </c>
      <c r="D80" s="5" t="s">
        <v>88</v>
      </c>
      <c r="F80" s="10" t="s">
        <v>58</v>
      </c>
      <c r="G80" s="11">
        <v>182000</v>
      </c>
      <c r="H80" s="20">
        <v>295000</v>
      </c>
      <c r="I80" s="11">
        <v>295000</v>
      </c>
      <c r="J80" s="11">
        <v>571200</v>
      </c>
      <c r="K80" s="11">
        <v>687700</v>
      </c>
    </row>
    <row r="81" spans="1:11" ht="29" x14ac:dyDescent="0.55000000000000004">
      <c r="A81" s="5" t="s">
        <v>89</v>
      </c>
      <c r="B81" s="5" t="s">
        <v>90</v>
      </c>
      <c r="C81" s="19">
        <v>5100</v>
      </c>
      <c r="D81" s="5" t="s">
        <v>91</v>
      </c>
      <c r="F81" s="10" t="s">
        <v>59</v>
      </c>
      <c r="G81" s="11">
        <v>1020350</v>
      </c>
      <c r="H81" s="11">
        <v>723019</v>
      </c>
      <c r="I81" s="11">
        <v>671206</v>
      </c>
      <c r="J81" s="11">
        <v>636000</v>
      </c>
      <c r="K81" s="11">
        <v>1072938</v>
      </c>
    </row>
    <row r="82" spans="1:11" ht="29" x14ac:dyDescent="0.55000000000000004">
      <c r="A82" s="5" t="s">
        <v>92</v>
      </c>
      <c r="B82" s="5" t="s">
        <v>93</v>
      </c>
      <c r="C82" s="8" t="s">
        <v>94</v>
      </c>
      <c r="D82" s="5" t="s">
        <v>95</v>
      </c>
      <c r="F82" s="10" t="s">
        <v>60</v>
      </c>
      <c r="G82" s="11">
        <v>14977603</v>
      </c>
      <c r="H82" s="11">
        <v>2326272</v>
      </c>
      <c r="I82" s="11">
        <v>2057440</v>
      </c>
      <c r="J82" s="11">
        <v>698500</v>
      </c>
      <c r="K82" s="11">
        <v>3661517</v>
      </c>
    </row>
    <row r="83" spans="1:11" ht="58" x14ac:dyDescent="0.35">
      <c r="A83" s="5" t="s">
        <v>96</v>
      </c>
      <c r="B83" s="5" t="s">
        <v>97</v>
      </c>
      <c r="C83" s="5">
        <v>7.0000000000000007E-2</v>
      </c>
      <c r="D83" s="5" t="s">
        <v>98</v>
      </c>
    </row>
    <row r="84" spans="1:11" ht="29" x14ac:dyDescent="0.35">
      <c r="A84" s="5" t="s">
        <v>99</v>
      </c>
      <c r="B84" s="5" t="s">
        <v>100</v>
      </c>
      <c r="C84" s="17">
        <v>0.04</v>
      </c>
      <c r="D84" s="5" t="s">
        <v>101</v>
      </c>
      <c r="F84" s="21">
        <v>41.7</v>
      </c>
    </row>
    <row r="85" spans="1:11" ht="29" x14ac:dyDescent="0.35">
      <c r="A85" s="5" t="s">
        <v>102</v>
      </c>
      <c r="B85" s="5" t="s">
        <v>103</v>
      </c>
      <c r="C85" s="18">
        <v>1.4999999999999999E-2</v>
      </c>
      <c r="D85" s="5" t="s">
        <v>104</v>
      </c>
      <c r="F85" s="21">
        <v>24</v>
      </c>
    </row>
    <row r="86" spans="1:11" ht="43.5" x14ac:dyDescent="0.35">
      <c r="A86" s="5" t="s">
        <v>105</v>
      </c>
      <c r="B86" s="5" t="s">
        <v>106</v>
      </c>
      <c r="C86" s="5" t="s">
        <v>107</v>
      </c>
      <c r="D86" s="5" t="s">
        <v>108</v>
      </c>
      <c r="F86" s="21">
        <v>11.7</v>
      </c>
    </row>
    <row r="87" spans="1:11" ht="29" x14ac:dyDescent="0.35">
      <c r="A87" s="5" t="s">
        <v>109</v>
      </c>
      <c r="B87" s="5" t="s">
        <v>110</v>
      </c>
      <c r="C87" s="5" t="s">
        <v>111</v>
      </c>
      <c r="D87" s="5" t="s">
        <v>112</v>
      </c>
      <c r="F87" s="21">
        <v>9</v>
      </c>
    </row>
    <row r="88" spans="1:11" x14ac:dyDescent="0.35">
      <c r="F88" s="21">
        <v>7.5</v>
      </c>
    </row>
    <row r="89" spans="1:11" x14ac:dyDescent="0.35">
      <c r="F89" s="21">
        <v>7.3</v>
      </c>
    </row>
    <row r="90" spans="1:11" x14ac:dyDescent="0.35">
      <c r="F90" s="21">
        <v>5.3</v>
      </c>
    </row>
    <row r="91" spans="1:11" x14ac:dyDescent="0.35">
      <c r="F91" s="21">
        <v>4.7</v>
      </c>
    </row>
    <row r="92" spans="1:11" x14ac:dyDescent="0.35">
      <c r="F92" s="21">
        <v>4.3</v>
      </c>
    </row>
    <row r="93" spans="1:11" x14ac:dyDescent="0.35">
      <c r="F93" s="21">
        <v>4</v>
      </c>
    </row>
    <row r="94" spans="1:11" x14ac:dyDescent="0.35">
      <c r="F94">
        <f>AVERAGE(F84:F93)</f>
        <v>11.95</v>
      </c>
    </row>
    <row r="101" spans="1:12" ht="29" x14ac:dyDescent="0.35">
      <c r="A101" s="7" t="s">
        <v>62</v>
      </c>
      <c r="B101" s="7" t="s">
        <v>63</v>
      </c>
      <c r="C101" s="7" t="s">
        <v>64</v>
      </c>
      <c r="D101" s="7" t="s">
        <v>65</v>
      </c>
      <c r="E101" s="7" t="s">
        <v>66</v>
      </c>
      <c r="F101" s="7" t="s">
        <v>67</v>
      </c>
      <c r="G101" s="7" t="s">
        <v>68</v>
      </c>
      <c r="L101" t="s">
        <v>117</v>
      </c>
    </row>
    <row r="102" spans="1:12" x14ac:dyDescent="0.35">
      <c r="A102" s="16" t="s">
        <v>69</v>
      </c>
      <c r="B102" s="25">
        <v>5250</v>
      </c>
      <c r="C102" s="6">
        <v>10.199999999999999</v>
      </c>
      <c r="D102" s="15">
        <v>1224</v>
      </c>
      <c r="E102" s="6">
        <v>878</v>
      </c>
      <c r="F102" s="13">
        <f t="shared" ref="F102:F111" si="4">D102*B102</f>
        <v>6426000</v>
      </c>
      <c r="G102" s="1">
        <f>F102/((1+0.0033)^H102)</f>
        <v>6404863.948968404</v>
      </c>
      <c r="H102">
        <v>1</v>
      </c>
    </row>
    <row r="103" spans="1:12" x14ac:dyDescent="0.35">
      <c r="A103" s="16" t="s">
        <v>70</v>
      </c>
      <c r="B103" s="25">
        <v>5500</v>
      </c>
      <c r="C103" s="6">
        <v>9.8000000000000007</v>
      </c>
      <c r="D103" s="15">
        <v>1176</v>
      </c>
      <c r="E103" s="6">
        <v>760</v>
      </c>
      <c r="F103" s="13">
        <f t="shared" si="4"/>
        <v>6468000</v>
      </c>
      <c r="G103" s="1">
        <f t="shared" ref="G103:G111" si="5">F103/((1+0.0033)^H103)</f>
        <v>6425521.5836180737</v>
      </c>
      <c r="H103">
        <v>2</v>
      </c>
      <c r="J103" s="24">
        <f>(B103-B102)/B102</f>
        <v>4.7619047619047616E-2</v>
      </c>
      <c r="K103" s="24">
        <f>(C103-C102)/C102</f>
        <v>-3.9215686274509665E-2</v>
      </c>
      <c r="L103" s="24">
        <f>(E103-E102)/E102</f>
        <v>-0.13439635535307518</v>
      </c>
    </row>
    <row r="104" spans="1:12" x14ac:dyDescent="0.35">
      <c r="A104" s="16" t="s">
        <v>71</v>
      </c>
      <c r="B104" s="25">
        <v>5780</v>
      </c>
      <c r="C104" s="6">
        <v>9.5</v>
      </c>
      <c r="D104" s="15">
        <v>1140</v>
      </c>
      <c r="E104" s="6">
        <v>646</v>
      </c>
      <c r="F104" s="13">
        <f t="shared" si="4"/>
        <v>6589200</v>
      </c>
      <c r="G104" s="1">
        <f t="shared" si="5"/>
        <v>6524395.1020346852</v>
      </c>
      <c r="H104">
        <v>3</v>
      </c>
      <c r="J104" s="24">
        <f t="shared" ref="J104:J111" si="6">(B104-B103)/B103</f>
        <v>5.0909090909090911E-2</v>
      </c>
      <c r="K104" s="24">
        <f t="shared" ref="K104:K111" si="7">(C104-C103)/C103</f>
        <v>-3.0612244897959252E-2</v>
      </c>
      <c r="L104" s="24">
        <f t="shared" ref="L104:L111" si="8">(E104-E103)/E103</f>
        <v>-0.15</v>
      </c>
    </row>
    <row r="105" spans="1:12" x14ac:dyDescent="0.35">
      <c r="A105" s="16" t="s">
        <v>72</v>
      </c>
      <c r="B105" s="25">
        <v>6050</v>
      </c>
      <c r="C105" s="6">
        <v>9.1999999999999993</v>
      </c>
      <c r="D105" s="15">
        <v>1104</v>
      </c>
      <c r="E105" s="6">
        <v>536</v>
      </c>
      <c r="F105" s="13">
        <f t="shared" si="4"/>
        <v>6679200</v>
      </c>
      <c r="G105" s="1">
        <f t="shared" si="5"/>
        <v>6591757.1518496433</v>
      </c>
      <c r="H105">
        <v>4</v>
      </c>
      <c r="J105" s="24">
        <f t="shared" si="6"/>
        <v>4.6712802768166091E-2</v>
      </c>
      <c r="K105" s="24">
        <f t="shared" si="7"/>
        <v>-3.157894736842113E-2</v>
      </c>
      <c r="L105" s="24">
        <f t="shared" si="8"/>
        <v>-0.17027863777089783</v>
      </c>
    </row>
    <row r="106" spans="1:12" x14ac:dyDescent="0.35">
      <c r="A106" s="16" t="s">
        <v>73</v>
      </c>
      <c r="B106" s="25">
        <v>6350</v>
      </c>
      <c r="C106" s="6">
        <v>8.8000000000000007</v>
      </c>
      <c r="D106" s="15">
        <v>1056</v>
      </c>
      <c r="E106" s="6">
        <v>430</v>
      </c>
      <c r="F106" s="13">
        <f t="shared" si="4"/>
        <v>6705600</v>
      </c>
      <c r="G106" s="1">
        <f t="shared" si="5"/>
        <v>6596044.5808271803</v>
      </c>
      <c r="H106">
        <v>5</v>
      </c>
      <c r="J106" s="24">
        <f t="shared" si="6"/>
        <v>4.9586776859504134E-2</v>
      </c>
      <c r="K106" s="24">
        <f t="shared" si="7"/>
        <v>-4.3478260869565064E-2</v>
      </c>
      <c r="L106" s="24">
        <f t="shared" si="8"/>
        <v>-0.19776119402985073</v>
      </c>
    </row>
    <row r="107" spans="1:12" x14ac:dyDescent="0.35">
      <c r="A107" s="16" t="s">
        <v>74</v>
      </c>
      <c r="B107" s="25">
        <v>6650</v>
      </c>
      <c r="C107" s="6">
        <v>8.5</v>
      </c>
      <c r="D107" s="15">
        <v>1020</v>
      </c>
      <c r="E107" s="6">
        <v>328</v>
      </c>
      <c r="F107" s="13">
        <f t="shared" si="4"/>
        <v>6783000</v>
      </c>
      <c r="G107" s="1">
        <f t="shared" si="5"/>
        <v>6650234.2543631848</v>
      </c>
      <c r="H107">
        <v>6</v>
      </c>
      <c r="J107" s="24">
        <f t="shared" si="6"/>
        <v>4.7244094488188976E-2</v>
      </c>
      <c r="K107" s="24">
        <f t="shared" si="7"/>
        <v>-3.4090909090909172E-2</v>
      </c>
      <c r="L107" s="24">
        <f t="shared" si="8"/>
        <v>-0.23720930232558141</v>
      </c>
    </row>
    <row r="108" spans="1:12" x14ac:dyDescent="0.35">
      <c r="A108" s="16" t="s">
        <v>75</v>
      </c>
      <c r="B108" s="25">
        <v>6980</v>
      </c>
      <c r="C108" s="6">
        <v>8.1</v>
      </c>
      <c r="D108" s="6">
        <v>972</v>
      </c>
      <c r="E108" s="6">
        <v>230</v>
      </c>
      <c r="F108" s="13">
        <f t="shared" si="4"/>
        <v>6784560</v>
      </c>
      <c r="G108" s="1">
        <f t="shared" si="5"/>
        <v>6629885.0991760045</v>
      </c>
      <c r="H108">
        <v>7</v>
      </c>
      <c r="J108" s="24">
        <f t="shared" si="6"/>
        <v>4.9624060150375938E-2</v>
      </c>
      <c r="K108" s="24">
        <f t="shared" si="7"/>
        <v>-4.7058823529411806E-2</v>
      </c>
      <c r="L108" s="24">
        <f t="shared" si="8"/>
        <v>-0.29878048780487804</v>
      </c>
    </row>
    <row r="109" spans="1:12" x14ac:dyDescent="0.35">
      <c r="A109" s="16" t="s">
        <v>76</v>
      </c>
      <c r="B109" s="25">
        <v>7330</v>
      </c>
      <c r="C109" s="6">
        <v>7.7</v>
      </c>
      <c r="D109" s="6">
        <v>924</v>
      </c>
      <c r="E109" s="6">
        <v>136</v>
      </c>
      <c r="F109" s="13">
        <f t="shared" si="4"/>
        <v>6772920</v>
      </c>
      <c r="G109" s="1">
        <f t="shared" si="5"/>
        <v>6596741.2227221858</v>
      </c>
      <c r="H109">
        <v>8</v>
      </c>
      <c r="J109" s="24">
        <f t="shared" si="6"/>
        <v>5.0143266475644696E-2</v>
      </c>
      <c r="K109" s="24">
        <f t="shared" si="7"/>
        <v>-4.9382716049382651E-2</v>
      </c>
      <c r="L109" s="24">
        <f t="shared" si="8"/>
        <v>-0.40869565217391307</v>
      </c>
    </row>
    <row r="110" spans="1:12" x14ac:dyDescent="0.35">
      <c r="A110" s="16" t="s">
        <v>77</v>
      </c>
      <c r="B110" s="25">
        <v>7690</v>
      </c>
      <c r="C110" s="6">
        <v>7.3</v>
      </c>
      <c r="D110" s="6">
        <v>876</v>
      </c>
      <c r="E110" s="6">
        <v>45</v>
      </c>
      <c r="F110" s="13">
        <f t="shared" si="4"/>
        <v>6736440</v>
      </c>
      <c r="G110" s="1">
        <f t="shared" si="5"/>
        <v>6539629.3720765123</v>
      </c>
      <c r="H110">
        <v>9</v>
      </c>
      <c r="J110" s="24">
        <f t="shared" si="6"/>
        <v>4.9113233287858118E-2</v>
      </c>
      <c r="K110" s="24">
        <f t="shared" si="7"/>
        <v>-5.1948051948051993E-2</v>
      </c>
      <c r="L110" s="24">
        <f t="shared" si="8"/>
        <v>-0.66911764705882348</v>
      </c>
    </row>
    <row r="111" spans="1:12" x14ac:dyDescent="0.35">
      <c r="A111" s="16" t="s">
        <v>78</v>
      </c>
      <c r="B111" s="25">
        <v>8070</v>
      </c>
      <c r="C111" s="6">
        <v>3.8</v>
      </c>
      <c r="D111" s="6">
        <v>456</v>
      </c>
      <c r="E111" s="6">
        <v>0</v>
      </c>
      <c r="F111" s="13">
        <f t="shared" si="4"/>
        <v>3679920</v>
      </c>
      <c r="G111" s="1">
        <f t="shared" si="5"/>
        <v>3560657.9432944637</v>
      </c>
      <c r="H111">
        <v>10</v>
      </c>
      <c r="J111" s="24">
        <f t="shared" si="6"/>
        <v>4.94148244473342E-2</v>
      </c>
      <c r="K111" s="24">
        <f t="shared" si="7"/>
        <v>-0.47945205479452058</v>
      </c>
      <c r="L111" s="24">
        <f t="shared" si="8"/>
        <v>-1</v>
      </c>
    </row>
    <row r="113" spans="1:10" x14ac:dyDescent="0.35">
      <c r="F113" s="1">
        <f>AVERAGE(F102:F111)</f>
        <v>6362484</v>
      </c>
      <c r="G113" s="1">
        <f>AVERAGE(G102:G111)</f>
        <v>6251973.0258930344</v>
      </c>
    </row>
    <row r="114" spans="1:10" x14ac:dyDescent="0.35">
      <c r="F114" s="1">
        <f>SUM(F102:F111)*12</f>
        <v>763498080</v>
      </c>
      <c r="G114" s="1">
        <f>SUM(G102:G111)*12</f>
        <v>750236763.10716414</v>
      </c>
    </row>
    <row r="116" spans="1:10" ht="29" x14ac:dyDescent="0.35">
      <c r="A116" s="7" t="s">
        <v>62</v>
      </c>
      <c r="B116" s="7" t="s">
        <v>63</v>
      </c>
      <c r="C116" s="7" t="s">
        <v>64</v>
      </c>
      <c r="D116" s="7" t="s">
        <v>65</v>
      </c>
      <c r="E116" s="7" t="s">
        <v>66</v>
      </c>
      <c r="F116" s="7" t="s">
        <v>67</v>
      </c>
      <c r="G116" s="7" t="s">
        <v>68</v>
      </c>
    </row>
    <row r="117" spans="1:10" x14ac:dyDescent="0.35">
      <c r="A117" s="16" t="s">
        <v>69</v>
      </c>
      <c r="B117" s="22">
        <v>5100</v>
      </c>
      <c r="C117" s="7">
        <v>9.6</v>
      </c>
      <c r="D117" s="23">
        <v>1075</v>
      </c>
      <c r="E117" s="7">
        <v>890</v>
      </c>
      <c r="F117" s="13">
        <f>D117*B117</f>
        <v>5482500</v>
      </c>
      <c r="G117" s="1">
        <f>F117/((1+0.0033)^H117)</f>
        <v>5464467.2580484394</v>
      </c>
      <c r="H117">
        <v>1</v>
      </c>
    </row>
    <row r="118" spans="1:10" x14ac:dyDescent="0.35">
      <c r="A118" s="16" t="s">
        <v>70</v>
      </c>
      <c r="B118" s="22">
        <v>5342.8571428571431</v>
      </c>
      <c r="C118" s="7">
        <v>9.3000000000000007</v>
      </c>
      <c r="D118" s="23">
        <v>1040</v>
      </c>
      <c r="E118" s="7">
        <v>777</v>
      </c>
      <c r="F118" s="13">
        <f t="shared" ref="F118:F126" si="9">D118*B118</f>
        <v>5556571.4285714291</v>
      </c>
      <c r="G118" s="1">
        <f t="shared" ref="G118:G126" si="10">F118/((1+0.0033)^H118)</f>
        <v>5520078.7948672287</v>
      </c>
      <c r="H118">
        <v>2</v>
      </c>
      <c r="J118" s="2">
        <f>B117*(1+J103)</f>
        <v>5342.8571428571431</v>
      </c>
    </row>
    <row r="119" spans="1:10" x14ac:dyDescent="0.35">
      <c r="A119" s="16" t="s">
        <v>71</v>
      </c>
      <c r="B119" s="22">
        <v>5614.857142857144</v>
      </c>
      <c r="C119" s="7">
        <v>9</v>
      </c>
      <c r="D119" s="23">
        <v>1010</v>
      </c>
      <c r="E119" s="7">
        <v>670</v>
      </c>
      <c r="F119" s="13">
        <f t="shared" si="9"/>
        <v>5671005.7142857155</v>
      </c>
      <c r="G119" s="1">
        <f t="shared" si="10"/>
        <v>5615231.273279978</v>
      </c>
      <c r="H119">
        <v>3</v>
      </c>
      <c r="J119" s="2">
        <f>J118*(1+J104)</f>
        <v>5614.857142857144</v>
      </c>
    </row>
    <row r="120" spans="1:10" x14ac:dyDescent="0.35">
      <c r="A120" s="16" t="s">
        <v>72</v>
      </c>
      <c r="B120" s="22">
        <v>5877.1428571428578</v>
      </c>
      <c r="C120" s="7">
        <v>8.6</v>
      </c>
      <c r="D120" s="7">
        <v>960</v>
      </c>
      <c r="E120" s="7">
        <v>560</v>
      </c>
      <c r="F120" s="13">
        <f t="shared" si="9"/>
        <v>5642057.1428571437</v>
      </c>
      <c r="G120" s="1">
        <f t="shared" si="10"/>
        <v>5568192.3767177118</v>
      </c>
      <c r="H120">
        <v>4</v>
      </c>
      <c r="J120" s="2">
        <f t="shared" ref="J120:J126" si="11">J119*(1+J105)</f>
        <v>5877.1428571428578</v>
      </c>
    </row>
    <row r="121" spans="1:10" x14ac:dyDescent="0.35">
      <c r="A121" s="16" t="s">
        <v>73</v>
      </c>
      <c r="B121" s="22">
        <v>6168.5714285714294</v>
      </c>
      <c r="C121" s="7">
        <v>8.3000000000000007</v>
      </c>
      <c r="D121" s="7">
        <v>930</v>
      </c>
      <c r="E121" s="7">
        <v>455</v>
      </c>
      <c r="F121" s="13">
        <f t="shared" si="9"/>
        <v>5736771.4285714291</v>
      </c>
      <c r="G121" s="1">
        <f t="shared" si="10"/>
        <v>5643044.6332726041</v>
      </c>
      <c r="H121">
        <v>5</v>
      </c>
      <c r="J121" s="2">
        <f t="shared" si="11"/>
        <v>6168.5714285714294</v>
      </c>
    </row>
    <row r="122" spans="1:10" x14ac:dyDescent="0.35">
      <c r="A122" s="16" t="s">
        <v>74</v>
      </c>
      <c r="B122" s="22">
        <v>6460</v>
      </c>
      <c r="C122" s="7">
        <v>8</v>
      </c>
      <c r="D122" s="7">
        <v>900</v>
      </c>
      <c r="E122" s="7">
        <v>355</v>
      </c>
      <c r="F122" s="13">
        <f t="shared" si="9"/>
        <v>5814000</v>
      </c>
      <c r="G122" s="1">
        <f t="shared" si="10"/>
        <v>5700200.7894541584</v>
      </c>
      <c r="H122">
        <v>6</v>
      </c>
      <c r="J122" s="2">
        <f t="shared" si="11"/>
        <v>6460</v>
      </c>
    </row>
    <row r="123" spans="1:10" x14ac:dyDescent="0.35">
      <c r="A123" s="16" t="s">
        <v>75</v>
      </c>
      <c r="B123" s="22">
        <v>6780.5714285714284</v>
      </c>
      <c r="C123" s="7">
        <v>7.7</v>
      </c>
      <c r="D123" s="7">
        <v>865</v>
      </c>
      <c r="E123" s="7">
        <v>255</v>
      </c>
      <c r="F123" s="13">
        <f t="shared" si="9"/>
        <v>5865194.2857142854</v>
      </c>
      <c r="G123" s="1">
        <f t="shared" si="10"/>
        <v>5731479.1524622655</v>
      </c>
      <c r="H123">
        <v>7</v>
      </c>
      <c r="J123" s="2">
        <f t="shared" si="11"/>
        <v>6780.5714285714284</v>
      </c>
    </row>
    <row r="124" spans="1:10" x14ac:dyDescent="0.35">
      <c r="A124" s="16" t="s">
        <v>76</v>
      </c>
      <c r="B124" s="22">
        <v>7120.5714285714284</v>
      </c>
      <c r="C124" s="7">
        <v>7.3</v>
      </c>
      <c r="D124" s="7">
        <v>820</v>
      </c>
      <c r="E124" s="7">
        <v>155</v>
      </c>
      <c r="F124" s="13">
        <f t="shared" si="9"/>
        <v>5838868.5714285709</v>
      </c>
      <c r="G124" s="1">
        <f t="shared" si="10"/>
        <v>5686986.5581167135</v>
      </c>
      <c r="H124">
        <v>8</v>
      </c>
      <c r="J124" s="2">
        <f t="shared" si="11"/>
        <v>7120.5714285714284</v>
      </c>
    </row>
    <row r="125" spans="1:10" x14ac:dyDescent="0.35">
      <c r="A125" s="16" t="s">
        <v>77</v>
      </c>
      <c r="B125" s="22">
        <v>7470.2857142857138</v>
      </c>
      <c r="C125" s="7">
        <v>6.9</v>
      </c>
      <c r="D125" s="7">
        <v>775</v>
      </c>
      <c r="E125" s="7">
        <v>60</v>
      </c>
      <c r="F125" s="13">
        <f t="shared" si="9"/>
        <v>5789471.4285714282</v>
      </c>
      <c r="G125" s="1">
        <f t="shared" si="10"/>
        <v>5620327.2653038511</v>
      </c>
      <c r="H125">
        <v>9</v>
      </c>
      <c r="J125" s="2">
        <f t="shared" si="11"/>
        <v>7470.2857142857138</v>
      </c>
    </row>
    <row r="126" spans="1:10" x14ac:dyDescent="0.35">
      <c r="A126" s="16" t="s">
        <v>78</v>
      </c>
      <c r="B126" s="22">
        <v>7839.4285714285716</v>
      </c>
      <c r="C126" s="7">
        <v>3.5</v>
      </c>
      <c r="D126" s="7">
        <v>390</v>
      </c>
      <c r="E126" s="7">
        <v>0</v>
      </c>
      <c r="F126" s="13">
        <f t="shared" si="9"/>
        <v>3057377.1428571427</v>
      </c>
      <c r="G126" s="1">
        <f t="shared" si="10"/>
        <v>2958290.9980002875</v>
      </c>
      <c r="H126">
        <v>10</v>
      </c>
      <c r="J126" s="2">
        <f t="shared" si="11"/>
        <v>7839.4285714285716</v>
      </c>
    </row>
    <row r="127" spans="1:10" x14ac:dyDescent="0.35">
      <c r="J127" s="2"/>
    </row>
    <row r="128" spans="1:10" x14ac:dyDescent="0.35">
      <c r="B128" s="1">
        <f>B126*112</f>
        <v>878016</v>
      </c>
      <c r="C128">
        <f>AVERAGE(C117:C126)</f>
        <v>7.82</v>
      </c>
      <c r="D128" s="14">
        <f>SUM(D117:D126)</f>
        <v>8765</v>
      </c>
      <c r="F128" s="1">
        <f>AVERAGE(F117:F126)</f>
        <v>5445381.7142857136</v>
      </c>
      <c r="G128" s="1">
        <f>AVERAGE(G117:G126)</f>
        <v>5350829.909952323</v>
      </c>
    </row>
    <row r="129" spans="1:7" x14ac:dyDescent="0.35">
      <c r="C129">
        <f>1000/C128</f>
        <v>127.8772378516624</v>
      </c>
      <c r="D129" s="14">
        <f>10000-D128</f>
        <v>1235</v>
      </c>
      <c r="F129" s="1">
        <f>SUM(F117:F126)*12</f>
        <v>653445805.71428561</v>
      </c>
      <c r="G129" s="1">
        <f>SUM(G117:G126)*12</f>
        <v>642099589.19427872</v>
      </c>
    </row>
    <row r="130" spans="1:7" x14ac:dyDescent="0.35">
      <c r="C130">
        <f>C129/12</f>
        <v>10.656436487638533</v>
      </c>
    </row>
    <row r="138" spans="1:7" ht="34.5" customHeight="1" x14ac:dyDescent="0.35">
      <c r="A138" s="66" t="s">
        <v>115</v>
      </c>
      <c r="B138" s="67"/>
      <c r="C138" s="67"/>
      <c r="D138" s="67"/>
      <c r="E138" s="67"/>
      <c r="F138" s="67"/>
      <c r="G138" s="68"/>
    </row>
    <row r="139" spans="1:7" ht="43.5" x14ac:dyDescent="0.35">
      <c r="A139" s="26" t="s">
        <v>62</v>
      </c>
      <c r="B139" s="26" t="s">
        <v>63</v>
      </c>
      <c r="C139" s="26" t="s">
        <v>64</v>
      </c>
      <c r="D139" s="26" t="s">
        <v>65</v>
      </c>
      <c r="E139" s="26" t="s">
        <v>66</v>
      </c>
      <c r="F139" s="26" t="s">
        <v>67</v>
      </c>
      <c r="G139" s="26" t="s">
        <v>68</v>
      </c>
    </row>
    <row r="140" spans="1:7" x14ac:dyDescent="0.35">
      <c r="A140" s="21" t="s">
        <v>69</v>
      </c>
      <c r="B140" s="25">
        <v>5250</v>
      </c>
      <c r="C140" s="21">
        <v>10.199999999999999</v>
      </c>
      <c r="D140" s="27">
        <v>1224</v>
      </c>
      <c r="E140" s="21">
        <v>878</v>
      </c>
      <c r="F140" s="25">
        <v>6487200</v>
      </c>
      <c r="G140" s="28">
        <v>6465863</v>
      </c>
    </row>
    <row r="141" spans="1:7" x14ac:dyDescent="0.35">
      <c r="A141" s="21" t="s">
        <v>70</v>
      </c>
      <c r="B141" s="25">
        <v>5500</v>
      </c>
      <c r="C141" s="21">
        <v>9.8000000000000007</v>
      </c>
      <c r="D141" s="27">
        <v>1176</v>
      </c>
      <c r="E141" s="21">
        <v>760</v>
      </c>
      <c r="F141" s="25">
        <v>6468000</v>
      </c>
      <c r="G141" s="28">
        <v>6425522</v>
      </c>
    </row>
    <row r="142" spans="1:7" x14ac:dyDescent="0.35">
      <c r="A142" s="21" t="s">
        <v>71</v>
      </c>
      <c r="B142" s="25">
        <v>5780</v>
      </c>
      <c r="C142" s="21">
        <v>9.5</v>
      </c>
      <c r="D142" s="27">
        <v>1140</v>
      </c>
      <c r="E142" s="21">
        <v>646</v>
      </c>
      <c r="F142" s="25">
        <v>6589200</v>
      </c>
      <c r="G142" s="28">
        <v>6524395</v>
      </c>
    </row>
    <row r="143" spans="1:7" x14ac:dyDescent="0.35">
      <c r="A143" s="21" t="s">
        <v>72</v>
      </c>
      <c r="B143" s="25">
        <v>6050</v>
      </c>
      <c r="C143" s="21">
        <v>9.1999999999999993</v>
      </c>
      <c r="D143" s="27">
        <v>1104</v>
      </c>
      <c r="E143" s="21">
        <v>536</v>
      </c>
      <c r="F143" s="25">
        <v>6679200</v>
      </c>
      <c r="G143" s="28">
        <v>6591757</v>
      </c>
    </row>
    <row r="144" spans="1:7" x14ac:dyDescent="0.35">
      <c r="A144" s="21" t="s">
        <v>73</v>
      </c>
      <c r="B144" s="25">
        <v>6350</v>
      </c>
      <c r="C144" s="21">
        <v>8.8000000000000007</v>
      </c>
      <c r="D144" s="27">
        <v>1056</v>
      </c>
      <c r="E144" s="21">
        <v>430</v>
      </c>
      <c r="F144" s="25">
        <v>6705600</v>
      </c>
      <c r="G144" s="28">
        <v>6596045</v>
      </c>
    </row>
    <row r="145" spans="1:11" x14ac:dyDescent="0.35">
      <c r="A145" s="21" t="s">
        <v>74</v>
      </c>
      <c r="B145" s="25">
        <v>6650</v>
      </c>
      <c r="C145" s="21">
        <v>8.5</v>
      </c>
      <c r="D145" s="27">
        <v>1020</v>
      </c>
      <c r="E145" s="21">
        <v>328</v>
      </c>
      <c r="F145" s="25">
        <v>6783000</v>
      </c>
      <c r="G145" s="28">
        <v>6650234</v>
      </c>
    </row>
    <row r="146" spans="1:11" x14ac:dyDescent="0.35">
      <c r="A146" s="21" t="s">
        <v>75</v>
      </c>
      <c r="B146" s="25">
        <v>6980</v>
      </c>
      <c r="C146" s="21">
        <v>8.1</v>
      </c>
      <c r="D146" s="21">
        <v>972</v>
      </c>
      <c r="E146" s="21">
        <v>230</v>
      </c>
      <c r="F146" s="25">
        <v>6784560</v>
      </c>
      <c r="G146" s="28">
        <v>6629885</v>
      </c>
    </row>
    <row r="147" spans="1:11" x14ac:dyDescent="0.35">
      <c r="A147" s="21" t="s">
        <v>76</v>
      </c>
      <c r="B147" s="25">
        <v>7330</v>
      </c>
      <c r="C147" s="21">
        <v>7.7</v>
      </c>
      <c r="D147" s="21">
        <v>924</v>
      </c>
      <c r="E147" s="21">
        <v>136</v>
      </c>
      <c r="F147" s="25">
        <v>6772920</v>
      </c>
      <c r="G147" s="28">
        <v>6596741</v>
      </c>
    </row>
    <row r="148" spans="1:11" x14ac:dyDescent="0.35">
      <c r="A148" s="21" t="s">
        <v>77</v>
      </c>
      <c r="B148" s="25">
        <v>7690</v>
      </c>
      <c r="C148" s="21">
        <v>7.3</v>
      </c>
      <c r="D148" s="21">
        <v>876</v>
      </c>
      <c r="E148" s="21">
        <v>45</v>
      </c>
      <c r="F148" s="25">
        <v>6736440</v>
      </c>
      <c r="G148" s="28">
        <v>6539629</v>
      </c>
    </row>
    <row r="149" spans="1:11" x14ac:dyDescent="0.35">
      <c r="A149" s="21" t="s">
        <v>78</v>
      </c>
      <c r="B149" s="25">
        <v>8070</v>
      </c>
      <c r="C149" s="21">
        <v>3.8</v>
      </c>
      <c r="D149" s="21">
        <v>456</v>
      </c>
      <c r="E149" s="21">
        <v>0</v>
      </c>
      <c r="F149" s="25">
        <v>3679920</v>
      </c>
      <c r="G149" s="28">
        <v>3560658</v>
      </c>
    </row>
    <row r="152" spans="1:11" ht="34.5" customHeight="1" x14ac:dyDescent="0.35">
      <c r="A152" s="66" t="s">
        <v>116</v>
      </c>
      <c r="B152" s="67"/>
      <c r="C152" s="67"/>
      <c r="D152" s="67"/>
      <c r="E152" s="67"/>
      <c r="F152" s="67"/>
      <c r="G152" s="68"/>
    </row>
    <row r="153" spans="1:11" ht="43.5" x14ac:dyDescent="0.35">
      <c r="A153" s="26" t="s">
        <v>62</v>
      </c>
      <c r="B153" s="26" t="s">
        <v>63</v>
      </c>
      <c r="C153" s="26" t="s">
        <v>64</v>
      </c>
      <c r="D153" s="26" t="s">
        <v>65</v>
      </c>
      <c r="E153" s="26" t="s">
        <v>66</v>
      </c>
      <c r="F153" s="26" t="s">
        <v>67</v>
      </c>
      <c r="G153" s="26" t="s">
        <v>68</v>
      </c>
    </row>
    <row r="154" spans="1:11" x14ac:dyDescent="0.35">
      <c r="A154" s="21" t="s">
        <v>69</v>
      </c>
      <c r="B154" s="25">
        <v>5550</v>
      </c>
      <c r="C154" s="21">
        <v>9.6</v>
      </c>
      <c r="D154" s="27">
        <v>1075</v>
      </c>
      <c r="E154" s="21">
        <v>890</v>
      </c>
      <c r="F154" s="25">
        <v>5966250</v>
      </c>
      <c r="G154" s="28">
        <v>5946626</v>
      </c>
      <c r="H154" s="1">
        <f>G154*12</f>
        <v>71359512</v>
      </c>
      <c r="I154">
        <v>1</v>
      </c>
      <c r="J154">
        <f>1/(1.075)^I154</f>
        <v>0.93023255813953487</v>
      </c>
      <c r="K154" s="2">
        <f>J154*H154</f>
        <v>66380941.395348839</v>
      </c>
    </row>
    <row r="155" spans="1:11" x14ac:dyDescent="0.35">
      <c r="A155" s="21" t="s">
        <v>70</v>
      </c>
      <c r="B155" s="25">
        <v>6030</v>
      </c>
      <c r="C155" s="21">
        <v>9.3000000000000007</v>
      </c>
      <c r="D155" s="27">
        <v>1040</v>
      </c>
      <c r="E155" s="21">
        <v>777</v>
      </c>
      <c r="F155" s="25">
        <v>6271200</v>
      </c>
      <c r="G155" s="28">
        <v>6230014</v>
      </c>
      <c r="H155" s="1">
        <f t="shared" ref="H155:H163" si="12">G155*12</f>
        <v>74760168</v>
      </c>
      <c r="I155">
        <v>2</v>
      </c>
      <c r="J155">
        <f t="shared" ref="J155:J163" si="13">1/(1.075)^I155</f>
        <v>0.86533261222282321</v>
      </c>
      <c r="K155" s="2">
        <f t="shared" ref="K155:K163" si="14">J155*H155</f>
        <v>64692411.465657115</v>
      </c>
    </row>
    <row r="156" spans="1:11" x14ac:dyDescent="0.35">
      <c r="A156" s="21" t="s">
        <v>71</v>
      </c>
      <c r="B156" s="25">
        <v>6550</v>
      </c>
      <c r="C156" s="21">
        <v>9</v>
      </c>
      <c r="D156" s="27">
        <v>1010</v>
      </c>
      <c r="E156" s="21">
        <v>670</v>
      </c>
      <c r="F156" s="25">
        <v>6615500</v>
      </c>
      <c r="G156" s="28">
        <v>6550436</v>
      </c>
      <c r="H156" s="1">
        <f t="shared" si="12"/>
        <v>78605232</v>
      </c>
      <c r="I156">
        <v>3</v>
      </c>
      <c r="J156">
        <f t="shared" si="13"/>
        <v>0.80496056950960304</v>
      </c>
      <c r="K156" s="2">
        <f t="shared" si="14"/>
        <v>63274112.317154475</v>
      </c>
    </row>
    <row r="157" spans="1:11" x14ac:dyDescent="0.35">
      <c r="A157" s="21" t="s">
        <v>72</v>
      </c>
      <c r="B157" s="25">
        <v>7040</v>
      </c>
      <c r="C157" s="21">
        <v>8.6</v>
      </c>
      <c r="D157" s="21">
        <v>960</v>
      </c>
      <c r="E157" s="21">
        <v>560</v>
      </c>
      <c r="F157" s="25">
        <v>6758400</v>
      </c>
      <c r="G157" s="28">
        <v>6669920</v>
      </c>
      <c r="H157" s="1">
        <f t="shared" si="12"/>
        <v>80039040</v>
      </c>
      <c r="I157">
        <v>4</v>
      </c>
      <c r="J157">
        <f t="shared" si="13"/>
        <v>0.7488005297763749</v>
      </c>
      <c r="K157" s="2">
        <f t="shared" si="14"/>
        <v>59933275.554792464</v>
      </c>
    </row>
    <row r="158" spans="1:11" x14ac:dyDescent="0.35">
      <c r="A158" s="21" t="s">
        <v>73</v>
      </c>
      <c r="B158" s="25">
        <v>7520</v>
      </c>
      <c r="C158" s="21">
        <v>8.3000000000000007</v>
      </c>
      <c r="D158" s="21">
        <v>930</v>
      </c>
      <c r="E158" s="21">
        <v>455</v>
      </c>
      <c r="F158" s="25">
        <v>6993600</v>
      </c>
      <c r="G158" s="28">
        <v>6879339</v>
      </c>
      <c r="H158" s="1">
        <f t="shared" si="12"/>
        <v>82552068</v>
      </c>
      <c r="I158">
        <v>5</v>
      </c>
      <c r="J158">
        <f t="shared" si="13"/>
        <v>0.69655863235011617</v>
      </c>
      <c r="K158" s="2">
        <f t="shared" si="14"/>
        <v>57502355.583753787</v>
      </c>
    </row>
    <row r="159" spans="1:11" x14ac:dyDescent="0.35">
      <c r="A159" s="21" t="s">
        <v>74</v>
      </c>
      <c r="B159" s="25">
        <v>8000</v>
      </c>
      <c r="C159" s="21">
        <v>8</v>
      </c>
      <c r="D159" s="21">
        <v>900</v>
      </c>
      <c r="E159" s="21">
        <v>355</v>
      </c>
      <c r="F159" s="25">
        <v>7200000</v>
      </c>
      <c r="G159" s="28">
        <v>7059072</v>
      </c>
      <c r="H159" s="1">
        <f t="shared" si="12"/>
        <v>84708864</v>
      </c>
      <c r="I159">
        <v>6</v>
      </c>
      <c r="J159">
        <f t="shared" si="13"/>
        <v>0.64796151846522443</v>
      </c>
      <c r="K159" s="2">
        <f t="shared" si="14"/>
        <v>54888084.144904181</v>
      </c>
    </row>
    <row r="160" spans="1:11" x14ac:dyDescent="0.35">
      <c r="A160" s="21" t="s">
        <v>75</v>
      </c>
      <c r="B160" s="25">
        <v>8520</v>
      </c>
      <c r="C160" s="21">
        <v>7.7</v>
      </c>
      <c r="D160" s="21">
        <v>865</v>
      </c>
      <c r="E160" s="21">
        <v>255</v>
      </c>
      <c r="F160" s="25">
        <v>7369800</v>
      </c>
      <c r="G160" s="28">
        <v>7201783</v>
      </c>
      <c r="H160" s="1">
        <f t="shared" si="12"/>
        <v>86421396</v>
      </c>
      <c r="I160">
        <v>7</v>
      </c>
      <c r="J160">
        <f t="shared" si="13"/>
        <v>0.60275490089788319</v>
      </c>
      <c r="K160" s="2">
        <f t="shared" si="14"/>
        <v>52090919.981436722</v>
      </c>
    </row>
    <row r="161" spans="1:11" x14ac:dyDescent="0.35">
      <c r="A161" s="21" t="s">
        <v>76</v>
      </c>
      <c r="B161" s="25">
        <v>9050</v>
      </c>
      <c r="C161" s="21">
        <v>7.3</v>
      </c>
      <c r="D161" s="21">
        <v>820</v>
      </c>
      <c r="E161" s="21">
        <v>155</v>
      </c>
      <c r="F161" s="25">
        <v>7421000</v>
      </c>
      <c r="G161" s="28">
        <v>7227963</v>
      </c>
      <c r="H161" s="1">
        <f t="shared" si="12"/>
        <v>86735556</v>
      </c>
      <c r="I161">
        <v>8</v>
      </c>
      <c r="J161">
        <f t="shared" si="13"/>
        <v>0.56070223339337966</v>
      </c>
      <c r="K161" s="2">
        <f t="shared" si="14"/>
        <v>48632819.963816553</v>
      </c>
    </row>
    <row r="162" spans="1:11" x14ac:dyDescent="0.35">
      <c r="A162" s="21" t="s">
        <v>77</v>
      </c>
      <c r="B162" s="25">
        <v>9620</v>
      </c>
      <c r="C162" s="21">
        <v>6.9</v>
      </c>
      <c r="D162" s="21">
        <v>775</v>
      </c>
      <c r="E162" s="21">
        <v>60</v>
      </c>
      <c r="F162" s="25">
        <v>7455500</v>
      </c>
      <c r="G162" s="28">
        <v>7237681</v>
      </c>
      <c r="H162" s="1">
        <f t="shared" si="12"/>
        <v>86852172</v>
      </c>
      <c r="I162">
        <v>9</v>
      </c>
      <c r="J162">
        <f t="shared" si="13"/>
        <v>0.52158347292407414</v>
      </c>
      <c r="K162" s="2">
        <f t="shared" si="14"/>
        <v>45300657.502759032</v>
      </c>
    </row>
    <row r="163" spans="1:11" x14ac:dyDescent="0.35">
      <c r="A163" s="21" t="s">
        <v>78</v>
      </c>
      <c r="B163" s="25">
        <v>10200</v>
      </c>
      <c r="C163" s="21">
        <v>3.5</v>
      </c>
      <c r="D163" s="21">
        <v>390</v>
      </c>
      <c r="E163" s="21">
        <v>18</v>
      </c>
      <c r="F163" s="25">
        <v>3978000</v>
      </c>
      <c r="G163" s="28">
        <v>3849078</v>
      </c>
      <c r="H163" s="1">
        <f t="shared" si="12"/>
        <v>46188936</v>
      </c>
      <c r="I163">
        <v>10</v>
      </c>
      <c r="J163">
        <f t="shared" si="13"/>
        <v>0.48519392830146441</v>
      </c>
      <c r="K163" s="2">
        <f t="shared" si="14"/>
        <v>22410591.301904928</v>
      </c>
    </row>
    <row r="166" spans="1:11" x14ac:dyDescent="0.35">
      <c r="K166" s="2">
        <f>SUM(K154:K163)</f>
        <v>535106169.21152812</v>
      </c>
    </row>
    <row r="167" spans="1:11" x14ac:dyDescent="0.35">
      <c r="A167" t="s">
        <v>69</v>
      </c>
      <c r="B167" s="1">
        <v>5147</v>
      </c>
      <c r="C167">
        <v>9.6999999999999993</v>
      </c>
      <c r="D167">
        <v>1271</v>
      </c>
      <c r="E167">
        <v>884</v>
      </c>
      <c r="F167" s="13">
        <f>D167*B167</f>
        <v>6541837</v>
      </c>
      <c r="G167" s="1">
        <f>F167/((1+0.0033)^H167)</f>
        <v>6520319.9441841915</v>
      </c>
      <c r="H167">
        <v>1</v>
      </c>
    </row>
    <row r="168" spans="1:11" x14ac:dyDescent="0.35">
      <c r="A168" t="s">
        <v>70</v>
      </c>
      <c r="B168" s="1">
        <f>B167*(1+J103)</f>
        <v>5392.0952380952385</v>
      </c>
      <c r="C168">
        <v>9.4600000000000009</v>
      </c>
      <c r="D168">
        <v>1239</v>
      </c>
      <c r="E168">
        <v>770</v>
      </c>
      <c r="F168" s="13">
        <f t="shared" ref="F168:F176" si="15">D168*B168</f>
        <v>6680806.0000000009</v>
      </c>
      <c r="G168" s="1">
        <f t="shared" ref="G168:G176" si="16">F168/((1+0.0033)^H168)</f>
        <v>6636929.9859253457</v>
      </c>
      <c r="H168">
        <v>2</v>
      </c>
    </row>
    <row r="169" spans="1:11" x14ac:dyDescent="0.35">
      <c r="A169" t="s">
        <v>71</v>
      </c>
      <c r="B169" s="1">
        <f t="shared" ref="B169:B176" si="17">B168*(1+J104)</f>
        <v>5666.6019047619056</v>
      </c>
      <c r="C169">
        <v>9.2200000000000006</v>
      </c>
      <c r="D169">
        <v>1208</v>
      </c>
      <c r="E169">
        <v>659</v>
      </c>
      <c r="F169" s="13">
        <f t="shared" si="15"/>
        <v>6845255.1009523822</v>
      </c>
      <c r="G169" s="1">
        <f t="shared" si="16"/>
        <v>6777931.8965628091</v>
      </c>
      <c r="H169">
        <v>3</v>
      </c>
    </row>
    <row r="170" spans="1:11" x14ac:dyDescent="0.35">
      <c r="A170" t="s">
        <v>72</v>
      </c>
      <c r="B170" s="1">
        <f t="shared" si="17"/>
        <v>5931.3047619047629</v>
      </c>
      <c r="C170">
        <v>8.98</v>
      </c>
      <c r="D170">
        <v>1176</v>
      </c>
      <c r="E170">
        <v>552</v>
      </c>
      <c r="F170" s="13">
        <f t="shared" si="15"/>
        <v>6975214.4000000013</v>
      </c>
      <c r="G170" s="1">
        <f t="shared" si="16"/>
        <v>6883896.1862026332</v>
      </c>
      <c r="H170">
        <v>4</v>
      </c>
    </row>
    <row r="171" spans="1:11" x14ac:dyDescent="0.35">
      <c r="A171" t="s">
        <v>73</v>
      </c>
      <c r="B171" s="1">
        <f t="shared" si="17"/>
        <v>6225.4190476190488</v>
      </c>
      <c r="C171">
        <v>8.73</v>
      </c>
      <c r="D171">
        <v>1144</v>
      </c>
      <c r="E171">
        <v>447</v>
      </c>
      <c r="F171" s="13">
        <f t="shared" si="15"/>
        <v>7121879.3904761914</v>
      </c>
      <c r="G171" s="1">
        <f t="shared" si="16"/>
        <v>7005522.8404401196</v>
      </c>
      <c r="H171">
        <v>5</v>
      </c>
    </row>
    <row r="172" spans="1:11" x14ac:dyDescent="0.35">
      <c r="A172" t="s">
        <v>74</v>
      </c>
      <c r="B172" s="1">
        <f t="shared" si="17"/>
        <v>6519.5333333333338</v>
      </c>
      <c r="C172">
        <v>8.51</v>
      </c>
      <c r="D172">
        <v>1115</v>
      </c>
      <c r="E172">
        <v>345</v>
      </c>
      <c r="F172" s="13">
        <f t="shared" si="15"/>
        <v>7269279.666666667</v>
      </c>
      <c r="G172" s="1">
        <f t="shared" si="16"/>
        <v>7126995.8195212241</v>
      </c>
      <c r="H172">
        <v>6</v>
      </c>
    </row>
    <row r="173" spans="1:11" x14ac:dyDescent="0.35">
      <c r="A173" t="s">
        <v>75</v>
      </c>
      <c r="B173" s="1">
        <f t="shared" si="17"/>
        <v>6843.0590476190482</v>
      </c>
      <c r="C173">
        <v>8.31</v>
      </c>
      <c r="D173">
        <v>1089</v>
      </c>
      <c r="E173">
        <v>245</v>
      </c>
      <c r="F173" s="13">
        <f t="shared" si="15"/>
        <v>7452091.3028571438</v>
      </c>
      <c r="G173" s="1">
        <f t="shared" si="16"/>
        <v>7282197.9740044558</v>
      </c>
      <c r="H173">
        <v>7</v>
      </c>
    </row>
    <row r="174" spans="1:11" x14ac:dyDescent="0.35">
      <c r="A174" t="s">
        <v>76</v>
      </c>
      <c r="B174" s="1">
        <f t="shared" si="17"/>
        <v>7186.1923809523814</v>
      </c>
      <c r="C174">
        <v>8.14</v>
      </c>
      <c r="D174">
        <v>1066</v>
      </c>
      <c r="E174">
        <v>147</v>
      </c>
      <c r="F174" s="13">
        <f t="shared" si="15"/>
        <v>7660481.0780952387</v>
      </c>
      <c r="G174" s="1">
        <f t="shared" si="16"/>
        <v>7461214.8547087749</v>
      </c>
      <c r="H174">
        <v>8</v>
      </c>
    </row>
    <row r="175" spans="1:11" ht="49.5" customHeight="1" x14ac:dyDescent="0.35">
      <c r="A175" t="s">
        <v>77</v>
      </c>
      <c r="B175" s="1">
        <f t="shared" si="17"/>
        <v>7539.1295238095245</v>
      </c>
      <c r="C175">
        <v>7.94</v>
      </c>
      <c r="D175">
        <v>1040</v>
      </c>
      <c r="E175">
        <v>52</v>
      </c>
      <c r="F175" s="13">
        <f t="shared" si="15"/>
        <v>7840694.7047619056</v>
      </c>
      <c r="G175" s="1">
        <f t="shared" si="16"/>
        <v>7611622.368602071</v>
      </c>
      <c r="H175">
        <v>9</v>
      </c>
    </row>
    <row r="176" spans="1:11" x14ac:dyDescent="0.35">
      <c r="A176" t="s">
        <v>78</v>
      </c>
      <c r="B176" s="1">
        <f t="shared" si="17"/>
        <v>7911.6742857142872</v>
      </c>
      <c r="C176">
        <v>6.5</v>
      </c>
      <c r="D176">
        <v>852</v>
      </c>
      <c r="E176">
        <v>0</v>
      </c>
      <c r="F176" s="13">
        <f t="shared" si="15"/>
        <v>6740746.4914285727</v>
      </c>
      <c r="G176" s="1">
        <f t="shared" si="16"/>
        <v>6522286.5003694193</v>
      </c>
      <c r="H176">
        <v>10</v>
      </c>
    </row>
    <row r="177" spans="1:11" ht="25.5" x14ac:dyDescent="0.55000000000000004">
      <c r="A177" s="10" t="s">
        <v>58</v>
      </c>
      <c r="B177" s="10">
        <v>0</v>
      </c>
      <c r="C177" s="10">
        <v>4</v>
      </c>
      <c r="D177" s="10">
        <v>0.3</v>
      </c>
      <c r="E177" s="10">
        <v>3.8</v>
      </c>
      <c r="F177" s="10">
        <v>3.5</v>
      </c>
    </row>
    <row r="178" spans="1:11" ht="51" x14ac:dyDescent="0.55000000000000004">
      <c r="A178" s="10" t="s">
        <v>59</v>
      </c>
      <c r="B178" s="10">
        <v>3.4</v>
      </c>
      <c r="C178" s="10">
        <v>11.95</v>
      </c>
      <c r="D178" s="10">
        <v>24</v>
      </c>
      <c r="E178" s="10">
        <v>8.1999999999999993</v>
      </c>
      <c r="F178" s="10">
        <v>7.8</v>
      </c>
    </row>
    <row r="179" spans="1:11" ht="25.5" x14ac:dyDescent="0.55000000000000004">
      <c r="A179" s="10" t="s">
        <v>60</v>
      </c>
      <c r="B179" s="10">
        <v>41.7</v>
      </c>
      <c r="C179" s="10">
        <v>41.7</v>
      </c>
      <c r="D179" s="10">
        <v>4.7</v>
      </c>
      <c r="E179" s="10">
        <v>10.8</v>
      </c>
      <c r="F179" s="10">
        <v>9.6</v>
      </c>
    </row>
    <row r="188" spans="1:11" x14ac:dyDescent="0.35">
      <c r="A188" t="s">
        <v>69</v>
      </c>
      <c r="B188" s="29">
        <v>5147</v>
      </c>
      <c r="C188">
        <v>9.6999999999999993</v>
      </c>
      <c r="D188" s="30">
        <v>884</v>
      </c>
      <c r="E188" s="31">
        <f>B188*131</f>
        <v>674257</v>
      </c>
      <c r="F188" s="29">
        <v>6541837</v>
      </c>
      <c r="G188" s="29">
        <v>6520319.9441841915</v>
      </c>
      <c r="H188">
        <v>1</v>
      </c>
      <c r="I188" s="32">
        <f>G188*12</f>
        <v>78243839.330210298</v>
      </c>
      <c r="J188">
        <f t="shared" ref="J188:J197" si="18">1/(1.075)^H188</f>
        <v>0.93023255813953487</v>
      </c>
      <c r="K188" s="2">
        <f>J188*I188</f>
        <v>72784966.818800271</v>
      </c>
    </row>
    <row r="189" spans="1:11" x14ac:dyDescent="0.35">
      <c r="A189" t="s">
        <v>70</v>
      </c>
      <c r="B189" s="1"/>
      <c r="C189">
        <v>9.4600000000000009</v>
      </c>
      <c r="D189" s="30">
        <v>770</v>
      </c>
      <c r="E189" s="31">
        <f t="shared" ref="E189:E196" si="19">B189*131</f>
        <v>0</v>
      </c>
      <c r="F189" s="29">
        <v>6680806.0000000009</v>
      </c>
      <c r="G189" s="29">
        <v>6636929.9859253457</v>
      </c>
      <c r="H189">
        <v>2</v>
      </c>
      <c r="I189" s="32">
        <f t="shared" ref="I189:I197" si="20">G189*12</f>
        <v>79643159.831104144</v>
      </c>
      <c r="J189">
        <f t="shared" si="18"/>
        <v>0.86533261222282321</v>
      </c>
      <c r="K189" s="2">
        <f t="shared" ref="K189:K197" si="21">J189*I189</f>
        <v>68917823.542329177</v>
      </c>
    </row>
    <row r="190" spans="1:11" x14ac:dyDescent="0.35">
      <c r="A190" t="s">
        <v>71</v>
      </c>
      <c r="B190" s="1">
        <f t="shared" ref="B190:B195" si="22">B189*(1+J125)</f>
        <v>0</v>
      </c>
      <c r="C190">
        <v>9.2200000000000006</v>
      </c>
      <c r="D190" s="30">
        <v>659</v>
      </c>
      <c r="E190" s="31">
        <f t="shared" si="19"/>
        <v>0</v>
      </c>
      <c r="F190" s="29">
        <v>6845255.1009523822</v>
      </c>
      <c r="G190" s="29">
        <v>6777931.8965628091</v>
      </c>
      <c r="H190">
        <v>3</v>
      </c>
      <c r="I190" s="32">
        <f t="shared" si="20"/>
        <v>81335182.758753717</v>
      </c>
      <c r="J190">
        <f t="shared" si="18"/>
        <v>0.80496056950960304</v>
      </c>
      <c r="K190" s="2">
        <f t="shared" si="21"/>
        <v>65471615.034654036</v>
      </c>
    </row>
    <row r="191" spans="1:11" x14ac:dyDescent="0.35">
      <c r="A191" t="s">
        <v>72</v>
      </c>
      <c r="B191" s="1">
        <f t="shared" si="22"/>
        <v>0</v>
      </c>
      <c r="C191">
        <v>8.98</v>
      </c>
      <c r="D191" s="30">
        <v>552</v>
      </c>
      <c r="E191" s="31">
        <f t="shared" si="19"/>
        <v>0</v>
      </c>
      <c r="F191" s="29">
        <v>6975214.4000000013</v>
      </c>
      <c r="G191" s="29">
        <v>6883896.1862026332</v>
      </c>
      <c r="H191">
        <v>4</v>
      </c>
      <c r="I191" s="32">
        <f t="shared" si="20"/>
        <v>82606754.234431595</v>
      </c>
      <c r="J191">
        <f t="shared" si="18"/>
        <v>0.7488005297763749</v>
      </c>
      <c r="K191" s="2">
        <f t="shared" si="21"/>
        <v>61855981.333849177</v>
      </c>
    </row>
    <row r="192" spans="1:11" x14ac:dyDescent="0.35">
      <c r="A192" t="s">
        <v>73</v>
      </c>
      <c r="B192" s="1">
        <f t="shared" si="22"/>
        <v>0</v>
      </c>
      <c r="C192">
        <v>8.73</v>
      </c>
      <c r="D192" s="30">
        <v>447</v>
      </c>
      <c r="E192" s="31">
        <f t="shared" si="19"/>
        <v>0</v>
      </c>
      <c r="F192" s="29">
        <v>7121879.3904761914</v>
      </c>
      <c r="G192" s="29">
        <v>7005522.8404401196</v>
      </c>
      <c r="H192">
        <v>5</v>
      </c>
      <c r="I192" s="32">
        <f t="shared" si="20"/>
        <v>84066274.085281432</v>
      </c>
      <c r="J192">
        <f t="shared" si="18"/>
        <v>0.69655863235011617</v>
      </c>
      <c r="K192" s="2">
        <f t="shared" si="21"/>
        <v>58557088.903613649</v>
      </c>
    </row>
    <row r="193" spans="1:11" x14ac:dyDescent="0.35">
      <c r="A193" t="s">
        <v>74</v>
      </c>
      <c r="B193" s="1">
        <f t="shared" si="22"/>
        <v>0</v>
      </c>
      <c r="C193">
        <v>8.51</v>
      </c>
      <c r="D193" s="30">
        <v>345</v>
      </c>
      <c r="E193" s="31">
        <f t="shared" si="19"/>
        <v>0</v>
      </c>
      <c r="F193" s="29">
        <v>7269279.666666667</v>
      </c>
      <c r="G193" s="29">
        <v>7126995.8195212241</v>
      </c>
      <c r="H193">
        <v>6</v>
      </c>
      <c r="I193" s="32">
        <f t="shared" si="20"/>
        <v>85523949.834254682</v>
      </c>
      <c r="J193">
        <f t="shared" si="18"/>
        <v>0.64796151846522443</v>
      </c>
      <c r="K193" s="2">
        <f t="shared" si="21"/>
        <v>55416228.399747342</v>
      </c>
    </row>
    <row r="194" spans="1:11" x14ac:dyDescent="0.35">
      <c r="A194" t="s">
        <v>75</v>
      </c>
      <c r="B194" s="1">
        <f t="shared" si="22"/>
        <v>0</v>
      </c>
      <c r="C194">
        <v>8.31</v>
      </c>
      <c r="D194" s="30">
        <v>245</v>
      </c>
      <c r="E194" s="31">
        <f t="shared" si="19"/>
        <v>0</v>
      </c>
      <c r="F194" s="29">
        <v>7452091.3028571438</v>
      </c>
      <c r="G194" s="29">
        <v>7282197.9740044558</v>
      </c>
      <c r="H194">
        <v>7</v>
      </c>
      <c r="I194" s="32">
        <f t="shared" si="20"/>
        <v>87386375.688053474</v>
      </c>
      <c r="J194">
        <f t="shared" si="18"/>
        <v>0.60275490089788319</v>
      </c>
      <c r="K194" s="2">
        <f t="shared" si="21"/>
        <v>52672566.217677861</v>
      </c>
    </row>
    <row r="195" spans="1:11" x14ac:dyDescent="0.35">
      <c r="A195" t="s">
        <v>76</v>
      </c>
      <c r="B195" s="1">
        <f t="shared" si="22"/>
        <v>0</v>
      </c>
      <c r="C195">
        <v>8.14</v>
      </c>
      <c r="D195" s="30">
        <v>147</v>
      </c>
      <c r="E195" s="31">
        <f t="shared" si="19"/>
        <v>0</v>
      </c>
      <c r="F195" s="29">
        <v>7660481.0780952387</v>
      </c>
      <c r="G195" s="29">
        <v>7461214.8547087749</v>
      </c>
      <c r="H195">
        <v>8</v>
      </c>
      <c r="I195" s="32">
        <f t="shared" si="20"/>
        <v>89534578.256505296</v>
      </c>
      <c r="J195">
        <f t="shared" si="18"/>
        <v>0.56070223339337966</v>
      </c>
      <c r="K195" s="2">
        <f t="shared" si="21"/>
        <v>50202237.994356848</v>
      </c>
    </row>
    <row r="196" spans="1:11" x14ac:dyDescent="0.35">
      <c r="A196" t="s">
        <v>77</v>
      </c>
      <c r="B196" s="29">
        <v>7539.1295238095245</v>
      </c>
      <c r="C196">
        <v>7.94</v>
      </c>
      <c r="D196" s="30">
        <v>52</v>
      </c>
      <c r="E196" s="31">
        <f t="shared" si="19"/>
        <v>987625.96761904773</v>
      </c>
      <c r="F196" s="29">
        <v>7840694.7047619056</v>
      </c>
      <c r="G196" s="29">
        <v>7611622.368602071</v>
      </c>
      <c r="H196">
        <v>9</v>
      </c>
      <c r="I196" s="32">
        <f t="shared" si="20"/>
        <v>91339468.423224851</v>
      </c>
      <c r="J196">
        <f t="shared" si="18"/>
        <v>0.52158347292407414</v>
      </c>
      <c r="K196" s="2">
        <f t="shared" si="21"/>
        <v>47641157.155224428</v>
      </c>
    </row>
    <row r="197" spans="1:11" x14ac:dyDescent="0.35">
      <c r="A197" t="s">
        <v>78</v>
      </c>
      <c r="B197" s="29">
        <v>7911.6742857142872</v>
      </c>
      <c r="C197">
        <v>6.5</v>
      </c>
      <c r="D197" s="30">
        <v>0</v>
      </c>
      <c r="E197" s="31">
        <f>B197*131</f>
        <v>1036429.3314285716</v>
      </c>
      <c r="F197" s="29">
        <v>6740746.4914285727</v>
      </c>
      <c r="G197" s="29">
        <v>6522286.5003694193</v>
      </c>
      <c r="H197">
        <v>10</v>
      </c>
      <c r="I197" s="32">
        <f t="shared" si="20"/>
        <v>78267438.004433036</v>
      </c>
      <c r="J197">
        <f t="shared" si="18"/>
        <v>0.48519392830146441</v>
      </c>
      <c r="K197" s="2">
        <f t="shared" si="21"/>
        <v>37974885.703462191</v>
      </c>
    </row>
    <row r="198" spans="1:11" x14ac:dyDescent="0.35">
      <c r="F198" s="31">
        <f>AVERAGE(F188:F197)</f>
        <v>7112828.5135238096</v>
      </c>
    </row>
    <row r="199" spans="1:11" x14ac:dyDescent="0.35">
      <c r="C199">
        <f>AVERAGE(C188:C197)</f>
        <v>8.5490000000000013</v>
      </c>
      <c r="F199" s="31">
        <f>(F188*12)</f>
        <v>78502044</v>
      </c>
    </row>
    <row r="200" spans="1:11" x14ac:dyDescent="0.35">
      <c r="F200" s="31">
        <f>F199+(F189*12)</f>
        <v>158671716</v>
      </c>
      <c r="J200" s="2">
        <f>SUM(K188:K197)</f>
        <v>571494551.10371506</v>
      </c>
    </row>
    <row r="201" spans="1:11" x14ac:dyDescent="0.35">
      <c r="F201" s="31">
        <f t="shared" ref="F201:F207" si="23">F200+(F190*12)</f>
        <v>240814777.21142858</v>
      </c>
    </row>
    <row r="202" spans="1:11" x14ac:dyDescent="0.35">
      <c r="F202" s="31">
        <f t="shared" si="23"/>
        <v>324517350.01142859</v>
      </c>
    </row>
    <row r="203" spans="1:11" x14ac:dyDescent="0.35">
      <c r="F203" s="31">
        <f t="shared" si="23"/>
        <v>409979902.6971429</v>
      </c>
    </row>
    <row r="204" spans="1:11" x14ac:dyDescent="0.35">
      <c r="F204" s="31">
        <f t="shared" si="23"/>
        <v>497211258.6971429</v>
      </c>
    </row>
    <row r="205" spans="1:11" x14ac:dyDescent="0.35">
      <c r="F205" s="31">
        <f t="shared" si="23"/>
        <v>586636354.33142865</v>
      </c>
    </row>
    <row r="206" spans="1:11" x14ac:dyDescent="0.35">
      <c r="F206" s="31">
        <f t="shared" si="23"/>
        <v>678562127.2685715</v>
      </c>
    </row>
    <row r="207" spans="1:11" x14ac:dyDescent="0.35">
      <c r="F207" s="31">
        <f t="shared" si="23"/>
        <v>772650463.72571433</v>
      </c>
    </row>
    <row r="208" spans="1:11" x14ac:dyDescent="0.35">
      <c r="F208" s="31">
        <f>F207+(F197*12)</f>
        <v>853539421.62285721</v>
      </c>
    </row>
    <row r="209" spans="1:11" x14ac:dyDescent="0.35">
      <c r="F209" s="31"/>
    </row>
    <row r="210" spans="1:11" x14ac:dyDescent="0.35">
      <c r="A210" s="7"/>
      <c r="B210" s="7"/>
      <c r="C210" s="7"/>
      <c r="D210" s="7"/>
      <c r="E210" s="7"/>
      <c r="F210" s="7"/>
    </row>
    <row r="211" spans="1:11" x14ac:dyDescent="0.35">
      <c r="A211" s="6" t="s">
        <v>69</v>
      </c>
      <c r="B211" s="1">
        <v>5798</v>
      </c>
      <c r="C211" s="6">
        <v>9.42</v>
      </c>
      <c r="D211" s="6">
        <v>887</v>
      </c>
      <c r="E211" s="1">
        <f>B211*161</f>
        <v>933478</v>
      </c>
      <c r="F211" s="13">
        <v>8789768</v>
      </c>
      <c r="G211" s="1">
        <f>F211/((1+0.0033)^H211)</f>
        <v>8760857.1713345945</v>
      </c>
      <c r="H211">
        <v>1</v>
      </c>
      <c r="I211" s="32">
        <f>G211*12</f>
        <v>105130286.05601513</v>
      </c>
      <c r="J211">
        <f t="shared" ref="J211:J220" si="24">1/(1.075)^H211</f>
        <v>0.93023255813953487</v>
      </c>
      <c r="K211" s="2">
        <f>J211*I211</f>
        <v>97795614.93582803</v>
      </c>
    </row>
    <row r="212" spans="1:11" x14ac:dyDescent="0.35">
      <c r="A212" s="6" t="s">
        <v>70</v>
      </c>
      <c r="B212" s="13">
        <f>B211*(1+J103)</f>
        <v>6074.0952380952385</v>
      </c>
      <c r="C212" s="6">
        <v>9.18</v>
      </c>
      <c r="D212" s="6">
        <v>777</v>
      </c>
      <c r="E212" s="1">
        <f t="shared" ref="E212:E220" si="25">B212*161</f>
        <v>977929.33333333337</v>
      </c>
      <c r="F212" s="13">
        <v>8977512.7619047631</v>
      </c>
      <c r="G212" s="1">
        <f t="shared" ref="G212:G218" si="26">F212/((1+0.0033)^H212)</f>
        <v>8918553.1878209282</v>
      </c>
      <c r="H212">
        <v>2</v>
      </c>
      <c r="I212" s="32">
        <f t="shared" ref="I212:I220" si="27">G212*12</f>
        <v>107022638.25385115</v>
      </c>
      <c r="J212">
        <f t="shared" si="24"/>
        <v>0.86533261222282321</v>
      </c>
      <c r="K212" s="2">
        <f t="shared" ref="K212:K220" si="28">J212*I212</f>
        <v>92610179.127183259</v>
      </c>
    </row>
    <row r="213" spans="1:11" x14ac:dyDescent="0.35">
      <c r="A213" s="6" t="s">
        <v>71</v>
      </c>
      <c r="B213" s="13">
        <f t="shared" ref="B213:B220" si="29">B212*(1+J104)</f>
        <v>6383.3219047619059</v>
      </c>
      <c r="C213" s="6">
        <v>8.9499999999999993</v>
      </c>
      <c r="D213" s="6">
        <v>669</v>
      </c>
      <c r="E213" s="1">
        <f t="shared" si="25"/>
        <v>1027714.8266666669</v>
      </c>
      <c r="F213" s="13">
        <v>9191983.542857144</v>
      </c>
      <c r="G213" s="1">
        <f t="shared" si="26"/>
        <v>9101580.2229406573</v>
      </c>
      <c r="H213">
        <v>3</v>
      </c>
      <c r="I213" s="32">
        <f t="shared" si="27"/>
        <v>109218962.67528789</v>
      </c>
      <c r="J213">
        <f t="shared" si="24"/>
        <v>0.80496056950960304</v>
      </c>
      <c r="K213" s="2">
        <f t="shared" si="28"/>
        <v>87916958.396347821</v>
      </c>
    </row>
    <row r="214" spans="1:11" x14ac:dyDescent="0.35">
      <c r="A214" s="6" t="s">
        <v>72</v>
      </c>
      <c r="B214" s="13">
        <f t="shared" si="29"/>
        <v>6681.5047619047627</v>
      </c>
      <c r="C214" s="6">
        <v>8.7100000000000009</v>
      </c>
      <c r="D214" s="6">
        <v>565</v>
      </c>
      <c r="E214" s="1">
        <f t="shared" si="25"/>
        <v>1075722.2666666668</v>
      </c>
      <c r="F214" s="13">
        <v>9374151.1809523813</v>
      </c>
      <c r="G214" s="1">
        <f t="shared" si="26"/>
        <v>9251426.5315550715</v>
      </c>
      <c r="H214">
        <v>4</v>
      </c>
      <c r="I214" s="32">
        <f t="shared" si="27"/>
        <v>111017118.37866086</v>
      </c>
      <c r="J214">
        <f t="shared" si="24"/>
        <v>0.7488005297763749</v>
      </c>
      <c r="K214" s="2">
        <f t="shared" si="28"/>
        <v>83129677.056187779</v>
      </c>
    </row>
    <row r="215" spans="1:11" x14ac:dyDescent="0.35">
      <c r="A215" s="6" t="s">
        <v>73</v>
      </c>
      <c r="B215" s="13">
        <f t="shared" si="29"/>
        <v>7012.8190476190484</v>
      </c>
      <c r="C215" s="6">
        <v>8.48</v>
      </c>
      <c r="D215" s="6">
        <v>463</v>
      </c>
      <c r="E215" s="1">
        <f t="shared" si="25"/>
        <v>1129063.8666666667</v>
      </c>
      <c r="F215" s="13">
        <v>9572498.0000000019</v>
      </c>
      <c r="G215" s="1">
        <f t="shared" si="26"/>
        <v>9416103.4893043172</v>
      </c>
      <c r="H215">
        <v>5</v>
      </c>
      <c r="I215" s="32">
        <f t="shared" si="27"/>
        <v>112993241.8716518</v>
      </c>
      <c r="J215">
        <f t="shared" si="24"/>
        <v>0.69655863235011617</v>
      </c>
      <c r="K215" s="2">
        <f t="shared" si="28"/>
        <v>78706418.022923663</v>
      </c>
    </row>
    <row r="216" spans="1:11" x14ac:dyDescent="0.35">
      <c r="A216" s="6" t="s">
        <v>74</v>
      </c>
      <c r="B216" s="13">
        <f t="shared" si="29"/>
        <v>7344.1333333333332</v>
      </c>
      <c r="C216" s="6">
        <v>8.2799999999999994</v>
      </c>
      <c r="D216" s="6">
        <v>364</v>
      </c>
      <c r="E216" s="1">
        <f t="shared" si="25"/>
        <v>1182405.4666666666</v>
      </c>
      <c r="F216" s="13">
        <v>9789729.7333333325</v>
      </c>
      <c r="G216" s="1">
        <f t="shared" si="26"/>
        <v>9598112.3416734617</v>
      </c>
      <c r="H216">
        <v>6</v>
      </c>
      <c r="I216" s="32">
        <f t="shared" si="27"/>
        <v>115177348.10008153</v>
      </c>
      <c r="J216">
        <f t="shared" si="24"/>
        <v>0.64796151846522443</v>
      </c>
      <c r="K216" s="2">
        <f t="shared" si="28"/>
        <v>74630489.367726564</v>
      </c>
    </row>
    <row r="217" spans="1:11" x14ac:dyDescent="0.35">
      <c r="A217" s="6" t="s">
        <v>75</v>
      </c>
      <c r="B217" s="13">
        <f t="shared" si="29"/>
        <v>7708.5790476190468</v>
      </c>
      <c r="C217" s="6">
        <v>8.06</v>
      </c>
      <c r="D217" s="6">
        <v>267</v>
      </c>
      <c r="E217" s="1">
        <f t="shared" si="25"/>
        <v>1241081.2266666666</v>
      </c>
      <c r="F217" s="13">
        <v>10005735.603809522</v>
      </c>
      <c r="G217" s="1">
        <f t="shared" si="26"/>
        <v>9777624.1032567434</v>
      </c>
      <c r="H217">
        <v>7</v>
      </c>
      <c r="I217" s="32">
        <f t="shared" si="27"/>
        <v>117331489.23908092</v>
      </c>
      <c r="J217">
        <f t="shared" si="24"/>
        <v>0.60275490089788319</v>
      </c>
      <c r="K217" s="2">
        <f t="shared" si="28"/>
        <v>70722130.16850327</v>
      </c>
    </row>
    <row r="218" spans="1:11" x14ac:dyDescent="0.35">
      <c r="A218" s="6" t="s">
        <v>76</v>
      </c>
      <c r="B218" s="13">
        <f t="shared" si="29"/>
        <v>8095.1123809523806</v>
      </c>
      <c r="C218" s="6">
        <v>7.85</v>
      </c>
      <c r="D218" s="6">
        <v>173</v>
      </c>
      <c r="E218" s="1">
        <f t="shared" si="25"/>
        <v>1303313.0933333333</v>
      </c>
      <c r="F218" s="13">
        <v>10232222.04952381</v>
      </c>
      <c r="G218" s="1">
        <f t="shared" si="26"/>
        <v>9966059.0991980731</v>
      </c>
      <c r="H218">
        <v>8</v>
      </c>
      <c r="I218" s="32">
        <f t="shared" si="27"/>
        <v>119592709.19037688</v>
      </c>
      <c r="J218">
        <f t="shared" si="24"/>
        <v>0.56070223339337966</v>
      </c>
      <c r="K218" s="2">
        <f t="shared" si="28"/>
        <v>67055899.140609279</v>
      </c>
    </row>
    <row r="219" spans="1:11" x14ac:dyDescent="0.35">
      <c r="A219" s="6" t="s">
        <v>77</v>
      </c>
      <c r="B219" s="13">
        <f t="shared" si="29"/>
        <v>8492.689523809524</v>
      </c>
      <c r="C219" s="6">
        <v>7.67</v>
      </c>
      <c r="D219" s="6">
        <v>81</v>
      </c>
      <c r="E219" s="1">
        <f t="shared" si="25"/>
        <v>1367323.0133333334</v>
      </c>
      <c r="F219" s="29">
        <v>7840694.7047619056</v>
      </c>
      <c r="G219" s="29">
        <v>7611622.368602071</v>
      </c>
      <c r="H219">
        <v>9</v>
      </c>
      <c r="I219" s="32">
        <f t="shared" si="27"/>
        <v>91339468.423224851</v>
      </c>
      <c r="J219">
        <f t="shared" si="24"/>
        <v>0.52158347292407414</v>
      </c>
      <c r="K219" s="2">
        <f t="shared" si="28"/>
        <v>47641157.155224428</v>
      </c>
    </row>
    <row r="220" spans="1:11" x14ac:dyDescent="0.35">
      <c r="A220" s="6" t="s">
        <v>78</v>
      </c>
      <c r="B220" s="13">
        <f t="shared" si="29"/>
        <v>8912.3542857142857</v>
      </c>
      <c r="C220" s="6">
        <v>7.34</v>
      </c>
      <c r="D220" s="6">
        <v>0</v>
      </c>
      <c r="E220" s="1">
        <f t="shared" si="25"/>
        <v>1434889.04</v>
      </c>
      <c r="F220" s="29">
        <v>6740746.4914285727</v>
      </c>
      <c r="G220" s="29">
        <v>6522286.5003694193</v>
      </c>
      <c r="H220">
        <v>10</v>
      </c>
      <c r="I220" s="32">
        <f t="shared" si="27"/>
        <v>78267438.004433036</v>
      </c>
      <c r="J220">
        <f t="shared" si="24"/>
        <v>0.48519392830146441</v>
      </c>
      <c r="K220" s="2">
        <f t="shared" si="28"/>
        <v>37974885.703462191</v>
      </c>
    </row>
    <row r="221" spans="1:11" x14ac:dyDescent="0.35">
      <c r="F221" s="1">
        <f>AVERAGE(F211:F220)</f>
        <v>9051504.206857143</v>
      </c>
      <c r="I221" s="32">
        <f>SUM(I211:I220)</f>
        <v>1067090700.192664</v>
      </c>
    </row>
    <row r="222" spans="1:11" x14ac:dyDescent="0.35">
      <c r="C222">
        <f>AVERAGE(C211:C220)</f>
        <v>8.3940000000000019</v>
      </c>
      <c r="F222" s="31">
        <f>(F211*12)</f>
        <v>105477216</v>
      </c>
    </row>
    <row r="223" spans="1:11" x14ac:dyDescent="0.35">
      <c r="F223" s="31">
        <f>F222+(F212*12)</f>
        <v>213207369.14285716</v>
      </c>
      <c r="J223" s="2">
        <f>SUM(K211:K220)</f>
        <v>738183409.07399631</v>
      </c>
    </row>
    <row r="224" spans="1:11" x14ac:dyDescent="0.35">
      <c r="F224" s="31">
        <f t="shared" ref="F224:F230" si="30">F223+(F213*12)</f>
        <v>323511171.65714288</v>
      </c>
    </row>
    <row r="225" spans="1:11" x14ac:dyDescent="0.35">
      <c r="F225" s="31">
        <f t="shared" si="30"/>
        <v>436000985.82857144</v>
      </c>
    </row>
    <row r="226" spans="1:11" x14ac:dyDescent="0.35">
      <c r="F226" s="31">
        <f t="shared" si="30"/>
        <v>550870961.82857144</v>
      </c>
    </row>
    <row r="227" spans="1:11" x14ac:dyDescent="0.35">
      <c r="F227" s="31">
        <f t="shared" si="30"/>
        <v>668347718.62857139</v>
      </c>
    </row>
    <row r="228" spans="1:11" x14ac:dyDescent="0.35">
      <c r="F228" s="31">
        <f t="shared" si="30"/>
        <v>788416545.8742857</v>
      </c>
    </row>
    <row r="229" spans="1:11" x14ac:dyDescent="0.35">
      <c r="F229" s="31">
        <f t="shared" si="30"/>
        <v>911203210.46857142</v>
      </c>
    </row>
    <row r="230" spans="1:11" x14ac:dyDescent="0.35">
      <c r="F230" s="31">
        <f t="shared" si="30"/>
        <v>1005291546.9257143</v>
      </c>
    </row>
    <row r="231" spans="1:11" x14ac:dyDescent="0.35">
      <c r="F231" s="31">
        <f>F230+(F220*12)</f>
        <v>1086180504.8228571</v>
      </c>
    </row>
    <row r="234" spans="1:11" ht="29" x14ac:dyDescent="0.35">
      <c r="A234" s="7" t="s">
        <v>62</v>
      </c>
      <c r="B234" s="7" t="s">
        <v>63</v>
      </c>
      <c r="C234" s="7" t="s">
        <v>64</v>
      </c>
      <c r="D234" s="7" t="s">
        <v>65</v>
      </c>
      <c r="E234" s="7" t="s">
        <v>66</v>
      </c>
      <c r="F234" s="7" t="s">
        <v>67</v>
      </c>
    </row>
    <row r="235" spans="1:11" x14ac:dyDescent="0.35">
      <c r="A235" s="6" t="s">
        <v>118</v>
      </c>
      <c r="B235" s="13">
        <v>7100</v>
      </c>
      <c r="C235" s="6">
        <v>9.1999999999999993</v>
      </c>
      <c r="D235" s="15">
        <v>1150</v>
      </c>
      <c r="E235" s="6">
        <v>890</v>
      </c>
      <c r="F235" s="13">
        <f>D235*B235</f>
        <v>8165000</v>
      </c>
      <c r="G235" s="1">
        <f>F235/((1+0.0033)^H235)</f>
        <v>8138144.1243895143</v>
      </c>
      <c r="H235">
        <v>1</v>
      </c>
      <c r="I235" s="32">
        <f>G235*12</f>
        <v>97657729.492674172</v>
      </c>
      <c r="J235">
        <f t="shared" ref="J235:J244" si="31">1/(1.075)^H235</f>
        <v>0.93023255813953487</v>
      </c>
      <c r="K235" s="2">
        <f>J235*I235</f>
        <v>90844399.52806899</v>
      </c>
    </row>
    <row r="236" spans="1:11" x14ac:dyDescent="0.35">
      <c r="A236" s="6" t="s">
        <v>119</v>
      </c>
      <c r="B236" s="1">
        <f>B235*(1+J103)</f>
        <v>7438.0952380952385</v>
      </c>
      <c r="C236" s="6">
        <v>9</v>
      </c>
      <c r="D236" s="15">
        <v>1125</v>
      </c>
      <c r="E236" s="6">
        <v>782</v>
      </c>
      <c r="F236" s="13">
        <f>D236*B236</f>
        <v>8367857.1428571437</v>
      </c>
      <c r="G236" s="1">
        <f t="shared" ref="G236:G244" si="32">F236/((1+0.0033)^H236)</f>
        <v>8312901.4656866491</v>
      </c>
      <c r="H236">
        <v>2</v>
      </c>
      <c r="I236" s="32">
        <f t="shared" ref="I236:I244" si="33">G236*12</f>
        <v>99754817.588239789</v>
      </c>
      <c r="J236">
        <f t="shared" si="31"/>
        <v>0.86533261222282321</v>
      </c>
      <c r="K236" s="2">
        <f t="shared" ref="K236:K245" si="34">J236*I236</f>
        <v>86321096.885442764</v>
      </c>
    </row>
    <row r="237" spans="1:11" x14ac:dyDescent="0.35">
      <c r="A237" s="6" t="s">
        <v>120</v>
      </c>
      <c r="B237" s="1">
        <f t="shared" ref="B237:B245" si="35">B236*(1+J104)</f>
        <v>7816.7619047619064</v>
      </c>
      <c r="C237" s="6">
        <v>8.8000000000000007</v>
      </c>
      <c r="D237" s="15">
        <v>1100</v>
      </c>
      <c r="E237" s="6">
        <v>676</v>
      </c>
      <c r="F237" s="13">
        <f t="shared" ref="F237:F244" si="36">D237*B237</f>
        <v>8598438.095238097</v>
      </c>
      <c r="G237" s="1">
        <f t="shared" si="32"/>
        <v>8513872.3052449282</v>
      </c>
      <c r="H237">
        <v>3</v>
      </c>
      <c r="I237" s="32">
        <f t="shared" si="33"/>
        <v>102166467.66293913</v>
      </c>
      <c r="J237">
        <f t="shared" si="31"/>
        <v>0.80496056950960304</v>
      </c>
      <c r="K237" s="2">
        <f t="shared" si="34"/>
        <v>82239977.994743928</v>
      </c>
    </row>
    <row r="238" spans="1:11" x14ac:dyDescent="0.35">
      <c r="A238" s="6" t="s">
        <v>121</v>
      </c>
      <c r="B238" s="1">
        <f t="shared" si="35"/>
        <v>8181.9047619047633</v>
      </c>
      <c r="C238" s="6">
        <v>8.5</v>
      </c>
      <c r="D238" s="15">
        <v>1063</v>
      </c>
      <c r="E238" s="6">
        <v>574</v>
      </c>
      <c r="F238" s="13">
        <f t="shared" si="36"/>
        <v>8697364.7619047631</v>
      </c>
      <c r="G238" s="1">
        <f t="shared" si="32"/>
        <v>8583500.474836925</v>
      </c>
      <c r="H238">
        <v>4</v>
      </c>
      <c r="I238" s="32">
        <f t="shared" si="33"/>
        <v>103002005.69804311</v>
      </c>
      <c r="J238">
        <f t="shared" si="31"/>
        <v>0.7488005297763749</v>
      </c>
      <c r="K238" s="2">
        <f t="shared" si="34"/>
        <v>77127956.434723869</v>
      </c>
    </row>
    <row r="239" spans="1:11" x14ac:dyDescent="0.35">
      <c r="A239" s="6" t="s">
        <v>122</v>
      </c>
      <c r="B239" s="1">
        <f t="shared" si="35"/>
        <v>8587.6190476190495</v>
      </c>
      <c r="C239" s="6">
        <v>8.1999999999999993</v>
      </c>
      <c r="D239" s="15">
        <v>1025</v>
      </c>
      <c r="E239" s="6">
        <v>476</v>
      </c>
      <c r="F239" s="13">
        <f t="shared" si="36"/>
        <v>8802309.5238095261</v>
      </c>
      <c r="G239" s="1">
        <f t="shared" si="32"/>
        <v>8658498.2750667054</v>
      </c>
      <c r="H239">
        <v>5</v>
      </c>
      <c r="I239" s="32">
        <f t="shared" si="33"/>
        <v>103901979.30080047</v>
      </c>
      <c r="J239">
        <f t="shared" si="31"/>
        <v>0.69655863235011617</v>
      </c>
      <c r="K239" s="2">
        <f t="shared" si="34"/>
        <v>72373820.600235656</v>
      </c>
    </row>
    <row r="240" spans="1:11" x14ac:dyDescent="0.35">
      <c r="A240" s="6" t="s">
        <v>123</v>
      </c>
      <c r="B240" s="1">
        <f t="shared" si="35"/>
        <v>8993.3333333333339</v>
      </c>
      <c r="C240" s="6">
        <v>7.9</v>
      </c>
      <c r="D240" s="6">
        <v>988</v>
      </c>
      <c r="E240" s="6">
        <v>381</v>
      </c>
      <c r="F240" s="13">
        <f t="shared" si="36"/>
        <v>8885413.333333334</v>
      </c>
      <c r="G240" s="1">
        <f t="shared" si="32"/>
        <v>8711496.4047631882</v>
      </c>
      <c r="H240">
        <v>6</v>
      </c>
      <c r="I240" s="32">
        <f t="shared" si="33"/>
        <v>104537956.85715826</v>
      </c>
      <c r="J240">
        <f t="shared" si="31"/>
        <v>0.64796151846522443</v>
      </c>
      <c r="K240" s="2">
        <f t="shared" si="34"/>
        <v>67736573.262416393</v>
      </c>
    </row>
    <row r="241" spans="1:11" x14ac:dyDescent="0.35">
      <c r="A241" s="6" t="s">
        <v>124</v>
      </c>
      <c r="B241" s="1">
        <f t="shared" si="35"/>
        <v>9439.6190476190477</v>
      </c>
      <c r="C241" s="6">
        <v>7.6</v>
      </c>
      <c r="D241" s="6">
        <v>950</v>
      </c>
      <c r="E241" s="6">
        <v>290</v>
      </c>
      <c r="F241" s="13">
        <f t="shared" si="36"/>
        <v>8967638.0952380951</v>
      </c>
      <c r="G241" s="1">
        <f t="shared" si="32"/>
        <v>8763193.218487585</v>
      </c>
      <c r="H241">
        <v>7</v>
      </c>
      <c r="I241" s="32">
        <f t="shared" si="33"/>
        <v>105158318.62185103</v>
      </c>
      <c r="J241">
        <f t="shared" si="31"/>
        <v>0.60275490089788319</v>
      </c>
      <c r="K241" s="2">
        <f t="shared" si="34"/>
        <v>63384691.919501841</v>
      </c>
    </row>
    <row r="242" spans="1:11" x14ac:dyDescent="0.35">
      <c r="A242" s="6" t="s">
        <v>125</v>
      </c>
      <c r="B242" s="1">
        <f t="shared" si="35"/>
        <v>9912.9523809523816</v>
      </c>
      <c r="C242" s="6">
        <v>7.3</v>
      </c>
      <c r="D242" s="6">
        <v>913</v>
      </c>
      <c r="E242" s="6">
        <v>202</v>
      </c>
      <c r="F242" s="13">
        <f t="shared" si="36"/>
        <v>9050525.5238095243</v>
      </c>
      <c r="G242" s="1">
        <f t="shared" si="32"/>
        <v>8815101.1395695787</v>
      </c>
      <c r="H242">
        <v>8</v>
      </c>
      <c r="I242" s="32">
        <f t="shared" si="33"/>
        <v>105781213.67483494</v>
      </c>
      <c r="J242">
        <f t="shared" si="31"/>
        <v>0.56070223339337966</v>
      </c>
      <c r="K242" s="2">
        <f t="shared" si="34"/>
        <v>59311762.758542262</v>
      </c>
    </row>
    <row r="243" spans="1:11" x14ac:dyDescent="0.35">
      <c r="A243" s="6" t="s">
        <v>126</v>
      </c>
      <c r="B243" s="1">
        <f t="shared" si="35"/>
        <v>10399.809523809525</v>
      </c>
      <c r="C243" s="6">
        <v>7</v>
      </c>
      <c r="D243" s="6">
        <v>875</v>
      </c>
      <c r="E243" s="6">
        <v>118</v>
      </c>
      <c r="F243" s="13">
        <f t="shared" si="36"/>
        <v>9099833.333333334</v>
      </c>
      <c r="G243" s="1">
        <f t="shared" si="32"/>
        <v>8833974.2278811336</v>
      </c>
      <c r="H243">
        <v>9</v>
      </c>
      <c r="I243" s="32">
        <f t="shared" si="33"/>
        <v>106007690.7345736</v>
      </c>
      <c r="J243">
        <f t="shared" si="31"/>
        <v>0.52158347292407414</v>
      </c>
      <c r="K243" s="2">
        <f t="shared" si="34"/>
        <v>55291859.490000099</v>
      </c>
    </row>
    <row r="244" spans="1:11" x14ac:dyDescent="0.35">
      <c r="A244" s="6" t="s">
        <v>127</v>
      </c>
      <c r="B244" s="1">
        <f t="shared" si="35"/>
        <v>10913.714285714288</v>
      </c>
      <c r="C244" s="6">
        <v>6.5</v>
      </c>
      <c r="D244" s="6">
        <v>813</v>
      </c>
      <c r="E244" s="6">
        <v>40</v>
      </c>
      <c r="F244" s="13">
        <f t="shared" si="36"/>
        <v>8872849.7142857164</v>
      </c>
      <c r="G244" s="1">
        <f t="shared" si="32"/>
        <v>8585290.6625224054</v>
      </c>
      <c r="H244">
        <v>10</v>
      </c>
      <c r="I244" s="32">
        <f t="shared" si="33"/>
        <v>103023487.95026886</v>
      </c>
      <c r="J244">
        <f t="shared" si="31"/>
        <v>0.48519392830146441</v>
      </c>
      <c r="K244" s="2">
        <f t="shared" si="34"/>
        <v>49986370.825909533</v>
      </c>
    </row>
    <row r="245" spans="1:11" x14ac:dyDescent="0.35">
      <c r="A245" s="6" t="s">
        <v>128</v>
      </c>
      <c r="B245" s="1">
        <f t="shared" si="35"/>
        <v>10913.714285714288</v>
      </c>
      <c r="C245" s="6">
        <v>6</v>
      </c>
      <c r="D245" s="6">
        <v>750</v>
      </c>
      <c r="E245" s="6">
        <v>0</v>
      </c>
      <c r="F245" s="13">
        <f>D245*B245</f>
        <v>8185285.7142857164</v>
      </c>
      <c r="G245" s="1">
        <f>F245/((1+0.0033)^H245)</f>
        <v>7893959.7690374572</v>
      </c>
      <c r="H245">
        <v>11</v>
      </c>
      <c r="I245" s="32">
        <f t="shared" ref="I245" si="37">G245*12</f>
        <v>94727517.228449494</v>
      </c>
      <c r="J245">
        <f t="shared" ref="J245" si="38">1/(1.075)^H245</f>
        <v>0.45134318911764126</v>
      </c>
      <c r="K245" s="2">
        <f t="shared" si="34"/>
        <v>42754619.723084703</v>
      </c>
    </row>
    <row r="246" spans="1:11" x14ac:dyDescent="0.35">
      <c r="F246" s="1">
        <f>AVERAGE(F235:F245)</f>
        <v>8699319.5670995675</v>
      </c>
    </row>
    <row r="247" spans="1:11" x14ac:dyDescent="0.35">
      <c r="F247" s="31">
        <f>(F235*12)</f>
        <v>97980000</v>
      </c>
      <c r="J247" s="2">
        <f>SUM(K235:K245)</f>
        <v>747373129.42267013</v>
      </c>
    </row>
    <row r="248" spans="1:11" x14ac:dyDescent="0.35">
      <c r="F248" s="31">
        <f>F247+(F237*12)</f>
        <v>201161257.14285716</v>
      </c>
    </row>
    <row r="249" spans="1:11" x14ac:dyDescent="0.35">
      <c r="F249" s="31">
        <f t="shared" ref="F249:F255" si="39">F248+(F238*12)</f>
        <v>305529634.28571433</v>
      </c>
    </row>
    <row r="250" spans="1:11" x14ac:dyDescent="0.35">
      <c r="F250" s="31">
        <f t="shared" si="39"/>
        <v>411157348.57142866</v>
      </c>
    </row>
    <row r="251" spans="1:11" x14ac:dyDescent="0.35">
      <c r="F251" s="31">
        <f t="shared" si="39"/>
        <v>517782308.57142866</v>
      </c>
    </row>
    <row r="252" spans="1:11" x14ac:dyDescent="0.35">
      <c r="F252" s="31">
        <f t="shared" si="39"/>
        <v>625393965.71428585</v>
      </c>
    </row>
    <row r="253" spans="1:11" x14ac:dyDescent="0.35">
      <c r="F253" s="31">
        <f t="shared" si="39"/>
        <v>734000272.00000012</v>
      </c>
    </row>
    <row r="254" spans="1:11" x14ac:dyDescent="0.35">
      <c r="F254" s="31">
        <f t="shared" si="39"/>
        <v>843198272.00000012</v>
      </c>
    </row>
    <row r="255" spans="1:11" x14ac:dyDescent="0.35">
      <c r="F255" s="31">
        <f t="shared" si="39"/>
        <v>949672468.57142878</v>
      </c>
    </row>
    <row r="256" spans="1:11" x14ac:dyDescent="0.35">
      <c r="F256" s="31">
        <f>F255+(F245*12)</f>
        <v>1047895897.1428573</v>
      </c>
    </row>
    <row r="257" spans="1:11" x14ac:dyDescent="0.35">
      <c r="F257" s="31">
        <f>F256+(F246*12)</f>
        <v>1152287731.9480522</v>
      </c>
    </row>
    <row r="258" spans="1:11" x14ac:dyDescent="0.35">
      <c r="F258" s="31"/>
    </row>
    <row r="260" spans="1:11" x14ac:dyDescent="0.35">
      <c r="A260" t="s">
        <v>118</v>
      </c>
      <c r="B260" s="29">
        <v>7100</v>
      </c>
      <c r="C260">
        <v>9.1999999999999993</v>
      </c>
      <c r="D260">
        <v>1150</v>
      </c>
      <c r="E260" s="33">
        <f>B260*125</f>
        <v>887500</v>
      </c>
      <c r="F260" s="29">
        <v>8165000</v>
      </c>
      <c r="G260" s="29">
        <v>8138144.1243895143</v>
      </c>
      <c r="H260">
        <v>1</v>
      </c>
      <c r="I260">
        <v>97657729.492674172</v>
      </c>
      <c r="J260">
        <v>0.93023255813953487</v>
      </c>
      <c r="K260">
        <v>90844399.52806899</v>
      </c>
    </row>
    <row r="261" spans="1:11" x14ac:dyDescent="0.35">
      <c r="A261" t="s">
        <v>119</v>
      </c>
      <c r="B261" s="29">
        <v>7438.0952380952385</v>
      </c>
      <c r="C261">
        <v>9</v>
      </c>
      <c r="D261">
        <v>1125</v>
      </c>
      <c r="E261" s="33">
        <f t="shared" ref="E261:E270" si="40">B261*125</f>
        <v>929761.90476190485</v>
      </c>
      <c r="F261" s="29">
        <v>8367857.1428571437</v>
      </c>
      <c r="G261" s="29">
        <v>8312901.4656866491</v>
      </c>
      <c r="H261">
        <v>2</v>
      </c>
      <c r="I261">
        <v>99754817.588239789</v>
      </c>
      <c r="J261">
        <v>0.86533261222282321</v>
      </c>
      <c r="K261">
        <v>86321096.885442764</v>
      </c>
    </row>
    <row r="262" spans="1:11" x14ac:dyDescent="0.35">
      <c r="A262" t="s">
        <v>120</v>
      </c>
      <c r="B262" s="29">
        <v>7816.7619047619064</v>
      </c>
      <c r="C262">
        <v>8.8000000000000007</v>
      </c>
      <c r="D262">
        <v>1100</v>
      </c>
      <c r="E262" s="33">
        <f t="shared" si="40"/>
        <v>977095.23809523834</v>
      </c>
      <c r="F262" s="29">
        <v>8598438.095238097</v>
      </c>
      <c r="G262" s="29">
        <v>8513872.3052449282</v>
      </c>
      <c r="H262">
        <v>3</v>
      </c>
      <c r="I262">
        <v>102166467.66293913</v>
      </c>
      <c r="J262">
        <v>0.80496056950960304</v>
      </c>
      <c r="K262">
        <v>82239977.994743928</v>
      </c>
    </row>
    <row r="263" spans="1:11" x14ac:dyDescent="0.35">
      <c r="A263" t="s">
        <v>121</v>
      </c>
      <c r="B263" s="29">
        <v>8181.9047619047633</v>
      </c>
      <c r="C263">
        <v>8.5</v>
      </c>
      <c r="D263">
        <v>1063</v>
      </c>
      <c r="E263" s="33">
        <f t="shared" si="40"/>
        <v>1022738.0952380954</v>
      </c>
      <c r="F263" s="29">
        <v>8697364.7619047631</v>
      </c>
      <c r="G263" s="29">
        <v>8583500.474836925</v>
      </c>
      <c r="H263">
        <v>4</v>
      </c>
      <c r="I263">
        <v>103002005.69804311</v>
      </c>
      <c r="J263">
        <v>0.7488005297763749</v>
      </c>
      <c r="K263">
        <v>77127956.434723869</v>
      </c>
    </row>
    <row r="264" spans="1:11" x14ac:dyDescent="0.35">
      <c r="A264" t="s">
        <v>122</v>
      </c>
      <c r="B264" s="29">
        <v>8587.6190476190495</v>
      </c>
      <c r="C264">
        <v>8.1999999999999993</v>
      </c>
      <c r="D264">
        <v>1025</v>
      </c>
      <c r="E264" s="33">
        <f t="shared" si="40"/>
        <v>1073452.3809523813</v>
      </c>
      <c r="F264" s="29">
        <v>8802309.5238095261</v>
      </c>
      <c r="G264" s="29">
        <v>8658498.2750667054</v>
      </c>
      <c r="H264">
        <v>5</v>
      </c>
      <c r="I264">
        <v>103901979.30080047</v>
      </c>
      <c r="J264">
        <v>0.69655863235011617</v>
      </c>
      <c r="K264">
        <v>72373820.600235656</v>
      </c>
    </row>
    <row r="265" spans="1:11" x14ac:dyDescent="0.35">
      <c r="A265" t="s">
        <v>123</v>
      </c>
      <c r="B265" s="29">
        <v>8993.3333333333339</v>
      </c>
      <c r="C265">
        <v>7.9</v>
      </c>
      <c r="D265">
        <v>988</v>
      </c>
      <c r="E265" s="33">
        <f t="shared" si="40"/>
        <v>1124166.6666666667</v>
      </c>
      <c r="F265" s="29">
        <v>8885413.333333334</v>
      </c>
      <c r="G265" s="29">
        <v>8711496.4047631882</v>
      </c>
      <c r="H265">
        <v>6</v>
      </c>
      <c r="I265">
        <v>104537956.85715826</v>
      </c>
      <c r="J265">
        <v>0.64796151846522443</v>
      </c>
      <c r="K265">
        <v>67736573.262416393</v>
      </c>
    </row>
    <row r="266" spans="1:11" x14ac:dyDescent="0.35">
      <c r="A266" t="s">
        <v>124</v>
      </c>
      <c r="B266" s="29">
        <v>9439.6190476190477</v>
      </c>
      <c r="C266">
        <v>7.6</v>
      </c>
      <c r="D266">
        <v>950</v>
      </c>
      <c r="E266" s="33">
        <f t="shared" si="40"/>
        <v>1179952.3809523811</v>
      </c>
      <c r="F266" s="29">
        <v>8967638.0952380951</v>
      </c>
      <c r="G266" s="29">
        <v>8763193.218487585</v>
      </c>
      <c r="H266">
        <v>7</v>
      </c>
      <c r="I266">
        <v>105158318.62185103</v>
      </c>
      <c r="J266">
        <v>0.60275490089788319</v>
      </c>
      <c r="K266">
        <v>63384691.919501841</v>
      </c>
    </row>
    <row r="267" spans="1:11" x14ac:dyDescent="0.35">
      <c r="A267" t="s">
        <v>125</v>
      </c>
      <c r="B267" s="29">
        <v>9912.9523809523816</v>
      </c>
      <c r="C267">
        <v>7.3</v>
      </c>
      <c r="D267">
        <v>913</v>
      </c>
      <c r="E267" s="33">
        <f t="shared" si="40"/>
        <v>1239119.0476190478</v>
      </c>
      <c r="F267" s="29">
        <v>9050525.5238095243</v>
      </c>
      <c r="G267" s="29">
        <v>8815101.1395695787</v>
      </c>
      <c r="H267">
        <v>8</v>
      </c>
      <c r="I267">
        <v>105781213.67483494</v>
      </c>
      <c r="J267">
        <v>0.56070223339337966</v>
      </c>
      <c r="K267">
        <v>59311762.758542262</v>
      </c>
    </row>
    <row r="268" spans="1:11" x14ac:dyDescent="0.35">
      <c r="A268" t="s">
        <v>126</v>
      </c>
      <c r="B268" s="29">
        <v>10399.809523809525</v>
      </c>
      <c r="C268">
        <v>7</v>
      </c>
      <c r="D268">
        <v>875</v>
      </c>
      <c r="E268" s="33">
        <f t="shared" si="40"/>
        <v>1299976.1904761905</v>
      </c>
      <c r="F268" s="29">
        <v>9099833.333333334</v>
      </c>
      <c r="G268" s="29">
        <v>8833974.2278811336</v>
      </c>
      <c r="H268">
        <v>9</v>
      </c>
      <c r="I268">
        <v>106007690.7345736</v>
      </c>
      <c r="J268">
        <v>0.52158347292407414</v>
      </c>
      <c r="K268">
        <v>55291859.490000099</v>
      </c>
    </row>
    <row r="269" spans="1:11" x14ac:dyDescent="0.35">
      <c r="A269" t="s">
        <v>127</v>
      </c>
      <c r="B269" s="29">
        <v>10913.714285714288</v>
      </c>
      <c r="C269">
        <v>6.5</v>
      </c>
      <c r="D269">
        <v>813</v>
      </c>
      <c r="E269" s="33">
        <f t="shared" si="40"/>
        <v>1364214.2857142859</v>
      </c>
      <c r="F269" s="29">
        <v>8872849.7142857164</v>
      </c>
      <c r="G269" s="29">
        <v>8585290.6625224054</v>
      </c>
      <c r="H269">
        <v>10</v>
      </c>
      <c r="I269">
        <v>103023487.95026886</v>
      </c>
      <c r="J269">
        <v>0.48519392830146441</v>
      </c>
      <c r="K269">
        <v>49986370.825909533</v>
      </c>
    </row>
    <row r="270" spans="1:11" x14ac:dyDescent="0.35">
      <c r="A270" t="s">
        <v>128</v>
      </c>
      <c r="B270" s="29">
        <v>10913.714285714288</v>
      </c>
      <c r="C270">
        <v>6</v>
      </c>
      <c r="D270">
        <v>750</v>
      </c>
      <c r="E270" s="33">
        <f t="shared" si="40"/>
        <v>1364214.2857142859</v>
      </c>
      <c r="F270" s="29">
        <v>8185285.7142857164</v>
      </c>
      <c r="G270" s="29">
        <v>7893959.7690374572</v>
      </c>
      <c r="H270">
        <v>11</v>
      </c>
    </row>
    <row r="271" spans="1:11" x14ac:dyDescent="0.35">
      <c r="C271">
        <f>AVERAGE(C260:C270)</f>
        <v>7.8181818181818183</v>
      </c>
      <c r="F271">
        <v>8699319.5670995675</v>
      </c>
    </row>
    <row r="272" spans="1:11" x14ac:dyDescent="0.35">
      <c r="F272">
        <v>97980000</v>
      </c>
      <c r="J272">
        <v>704618509.69958544</v>
      </c>
    </row>
    <row r="273" spans="1:20" x14ac:dyDescent="0.35">
      <c r="F273">
        <v>201161257.14285699</v>
      </c>
    </row>
    <row r="274" spans="1:20" x14ac:dyDescent="0.35">
      <c r="F274">
        <v>305529634.28571433</v>
      </c>
    </row>
    <row r="275" spans="1:20" x14ac:dyDescent="0.35">
      <c r="F275">
        <v>411157348.57142866</v>
      </c>
    </row>
    <row r="277" spans="1:20" ht="57.5" customHeight="1" x14ac:dyDescent="0.35">
      <c r="A277" s="72" t="s">
        <v>177</v>
      </c>
      <c r="B277" s="73"/>
      <c r="C277" s="73"/>
      <c r="D277" s="73"/>
      <c r="E277" s="73"/>
      <c r="F277" s="73"/>
      <c r="G277" s="74"/>
    </row>
    <row r="278" spans="1:20" ht="61.5" x14ac:dyDescent="0.35">
      <c r="A278" s="71" t="s">
        <v>62</v>
      </c>
      <c r="B278" s="71" t="s">
        <v>178</v>
      </c>
      <c r="C278" s="71" t="s">
        <v>176</v>
      </c>
      <c r="D278" s="71" t="s">
        <v>66</v>
      </c>
      <c r="E278" s="71" t="s">
        <v>139</v>
      </c>
      <c r="F278" s="71" t="s">
        <v>144</v>
      </c>
      <c r="G278" s="71" t="s">
        <v>179</v>
      </c>
      <c r="O278" s="7" t="s">
        <v>62</v>
      </c>
      <c r="P278" s="7" t="s">
        <v>63</v>
      </c>
      <c r="Q278" s="7" t="s">
        <v>64</v>
      </c>
      <c r="R278" s="7" t="s">
        <v>65</v>
      </c>
      <c r="S278" s="7" t="s">
        <v>66</v>
      </c>
      <c r="T278" s="7" t="s">
        <v>67</v>
      </c>
    </row>
    <row r="279" spans="1:20" x14ac:dyDescent="0.35">
      <c r="A279" s="6" t="s">
        <v>69</v>
      </c>
      <c r="B279" s="13">
        <v>6697</v>
      </c>
      <c r="C279" s="6">
        <v>9.14</v>
      </c>
      <c r="D279" s="15">
        <v>1023</v>
      </c>
      <c r="E279" s="6">
        <v>890</v>
      </c>
      <c r="F279" s="13">
        <f>B279*112</f>
        <v>750064</v>
      </c>
      <c r="G279" s="13">
        <f>D279*B279</f>
        <v>6851031</v>
      </c>
      <c r="H279" s="1">
        <f>G279/((1+0.0033)^I279)</f>
        <v>6828496.960031894</v>
      </c>
      <c r="I279">
        <v>1</v>
      </c>
      <c r="J279" s="32">
        <f>H279*12</f>
        <v>81941963.520382732</v>
      </c>
      <c r="K279">
        <f>1/(1.075)^I279</f>
        <v>0.93023255813953487</v>
      </c>
      <c r="L279" s="2">
        <f>K279*J279</f>
        <v>76225082.344542071</v>
      </c>
      <c r="O279" s="6" t="s">
        <v>69</v>
      </c>
      <c r="P279" s="13">
        <v>6707</v>
      </c>
      <c r="Q279" s="6">
        <v>9.14</v>
      </c>
      <c r="R279" s="15">
        <v>1023</v>
      </c>
      <c r="T279" s="6" t="s">
        <v>164</v>
      </c>
    </row>
    <row r="280" spans="1:20" x14ac:dyDescent="0.35">
      <c r="A280" s="6" t="s">
        <v>70</v>
      </c>
      <c r="B280" s="13">
        <f>B279*(1+J103)</f>
        <v>7015.9047619047624</v>
      </c>
      <c r="C280" s="6">
        <v>8.91</v>
      </c>
      <c r="D280" s="6">
        <v>998</v>
      </c>
      <c r="E280" s="6">
        <v>783</v>
      </c>
      <c r="F280" s="13">
        <f>B280*112</f>
        <v>785781.33333333337</v>
      </c>
      <c r="G280" s="13">
        <f>D280*B280</f>
        <v>7001872.9523809524</v>
      </c>
      <c r="H280" s="1">
        <f t="shared" ref="H280:H289" si="41">G280/((1+0.0033)^I280)</f>
        <v>6955888.339714814</v>
      </c>
      <c r="I280">
        <v>2</v>
      </c>
      <c r="J280" s="32">
        <f t="shared" ref="J280:J289" si="42">H280*12</f>
        <v>83470660.076577768</v>
      </c>
      <c r="K280">
        <f t="shared" ref="K280:K289" si="43">1/(1.075)^I280</f>
        <v>0.86533261222282321</v>
      </c>
      <c r="L280" s="2">
        <f t="shared" ref="L280:L288" si="44">K280*J280</f>
        <v>72229884.328028366</v>
      </c>
      <c r="O280" s="6" t="s">
        <v>70</v>
      </c>
      <c r="P280" s="13">
        <v>7421</v>
      </c>
      <c r="Q280" s="6">
        <v>8.91</v>
      </c>
      <c r="R280" s="6">
        <v>998</v>
      </c>
      <c r="T280" s="6" t="s">
        <v>165</v>
      </c>
    </row>
    <row r="281" spans="1:20" x14ac:dyDescent="0.35">
      <c r="A281" s="6" t="s">
        <v>71</v>
      </c>
      <c r="B281" s="13">
        <f t="shared" ref="B281:B289" si="45">B280*(1+J104)</f>
        <v>7373.0780952380965</v>
      </c>
      <c r="C281" s="6">
        <v>8.69</v>
      </c>
      <c r="D281" s="6">
        <v>973</v>
      </c>
      <c r="E281" s="6">
        <v>679</v>
      </c>
      <c r="F281" s="13">
        <f>B281*112</f>
        <v>825784.74666666682</v>
      </c>
      <c r="G281" s="13">
        <f>D281*B281</f>
        <v>7174004.9866666682</v>
      </c>
      <c r="H281" s="1">
        <f t="shared" si="41"/>
        <v>7103448.5213653268</v>
      </c>
      <c r="I281">
        <v>3</v>
      </c>
      <c r="J281" s="32">
        <f t="shared" si="42"/>
        <v>85241382.256383926</v>
      </c>
      <c r="K281">
        <f t="shared" si="43"/>
        <v>0.80496056950960304</v>
      </c>
      <c r="L281" s="2">
        <f t="shared" si="44"/>
        <v>68615951.606884569</v>
      </c>
      <c r="O281" s="6" t="s">
        <v>71</v>
      </c>
      <c r="P281" s="13">
        <v>8208</v>
      </c>
      <c r="Q281" s="6">
        <v>8.69</v>
      </c>
      <c r="R281" s="6">
        <v>973</v>
      </c>
      <c r="T281" s="6" t="s">
        <v>166</v>
      </c>
    </row>
    <row r="282" spans="1:20" x14ac:dyDescent="0.35">
      <c r="A282" s="6" t="s">
        <v>72</v>
      </c>
      <c r="B282" s="13">
        <f t="shared" si="45"/>
        <v>7717.4952380952391</v>
      </c>
      <c r="C282" s="6">
        <v>8.4600000000000009</v>
      </c>
      <c r="D282" s="6">
        <v>947</v>
      </c>
      <c r="E282" s="6">
        <v>578</v>
      </c>
      <c r="F282" s="13">
        <f>B282*112</f>
        <v>864359.46666666679</v>
      </c>
      <c r="G282" s="13">
        <f>D282*B282</f>
        <v>7308467.990476191</v>
      </c>
      <c r="H282" s="1">
        <f t="shared" si="41"/>
        <v>7212786.88245383</v>
      </c>
      <c r="I282">
        <v>4</v>
      </c>
      <c r="J282" s="32">
        <f t="shared" si="42"/>
        <v>86553442.589445964</v>
      </c>
      <c r="K282">
        <f t="shared" si="43"/>
        <v>0.7488005297763749</v>
      </c>
      <c r="L282" s="2">
        <f t="shared" si="44"/>
        <v>64811263.664946191</v>
      </c>
      <c r="O282" s="6" t="s">
        <v>72</v>
      </c>
      <c r="P282" s="13">
        <v>9145</v>
      </c>
      <c r="Q282" s="6">
        <v>8.4600000000000009</v>
      </c>
      <c r="R282" s="6">
        <v>947</v>
      </c>
      <c r="T282" s="6" t="s">
        <v>167</v>
      </c>
    </row>
    <row r="283" spans="1:20" x14ac:dyDescent="0.35">
      <c r="A283" s="6" t="s">
        <v>73</v>
      </c>
      <c r="B283" s="13">
        <f t="shared" si="45"/>
        <v>8100.1809523809543</v>
      </c>
      <c r="C283" s="6">
        <v>8.24</v>
      </c>
      <c r="D283" s="6">
        <v>923</v>
      </c>
      <c r="E283" s="6">
        <v>479</v>
      </c>
      <c r="F283" s="13">
        <f>B283*112</f>
        <v>907220.26666666684</v>
      </c>
      <c r="G283" s="13">
        <f>D283*B283</f>
        <v>7476467.0190476207</v>
      </c>
      <c r="H283" s="1">
        <f t="shared" si="41"/>
        <v>7354317.2519569024</v>
      </c>
      <c r="I283">
        <v>5</v>
      </c>
      <c r="J283" s="32">
        <f t="shared" si="42"/>
        <v>88251807.023482829</v>
      </c>
      <c r="K283">
        <f t="shared" si="43"/>
        <v>0.69655863235011617</v>
      </c>
      <c r="L283" s="2">
        <f t="shared" si="44"/>
        <v>61472558.002703577</v>
      </c>
      <c r="O283" s="6" t="s">
        <v>73</v>
      </c>
      <c r="P283" s="13">
        <v>10144</v>
      </c>
      <c r="Q283" s="6">
        <v>8.24</v>
      </c>
      <c r="R283" s="6">
        <v>923</v>
      </c>
      <c r="T283" s="6" t="s">
        <v>168</v>
      </c>
    </row>
    <row r="284" spans="1:20" x14ac:dyDescent="0.35">
      <c r="A284" s="6" t="s">
        <v>74</v>
      </c>
      <c r="B284" s="13">
        <f t="shared" si="45"/>
        <v>8482.8666666666686</v>
      </c>
      <c r="C284" s="6">
        <v>8.0399999999999991</v>
      </c>
      <c r="D284" s="6">
        <v>901</v>
      </c>
      <c r="E284" s="6">
        <v>382</v>
      </c>
      <c r="F284" s="13">
        <f>B284*112</f>
        <v>950081.06666666688</v>
      </c>
      <c r="G284" s="13">
        <f>D284*B284</f>
        <v>7643062.8666666681</v>
      </c>
      <c r="H284" s="1">
        <f t="shared" si="41"/>
        <v>7493462.845961662</v>
      </c>
      <c r="I284">
        <v>6</v>
      </c>
      <c r="J284" s="32">
        <f t="shared" si="42"/>
        <v>89921554.151539952</v>
      </c>
      <c r="K284">
        <f t="shared" si="43"/>
        <v>0.64796151846522443</v>
      </c>
      <c r="L284" s="2">
        <f t="shared" si="44"/>
        <v>58265706.770784736</v>
      </c>
      <c r="O284" s="6" t="s">
        <v>74</v>
      </c>
      <c r="P284" s="13">
        <v>11164</v>
      </c>
      <c r="Q284" s="6">
        <v>8.0399999999999991</v>
      </c>
      <c r="R284" s="6">
        <v>901</v>
      </c>
      <c r="T284" s="6" t="s">
        <v>169</v>
      </c>
    </row>
    <row r="285" spans="1:20" x14ac:dyDescent="0.35">
      <c r="A285" s="6" t="s">
        <v>75</v>
      </c>
      <c r="B285" s="13">
        <f t="shared" si="45"/>
        <v>8903.8209523809546</v>
      </c>
      <c r="C285" s="6">
        <v>7.82</v>
      </c>
      <c r="D285" s="6">
        <v>876</v>
      </c>
      <c r="E285" s="6">
        <v>288</v>
      </c>
      <c r="F285" s="13">
        <f>B285*112</f>
        <v>997227.94666666689</v>
      </c>
      <c r="G285" s="13">
        <f>D285*B285</f>
        <v>7799747.1542857159</v>
      </c>
      <c r="H285" s="1">
        <f t="shared" si="41"/>
        <v>7621927.9416114399</v>
      </c>
      <c r="I285">
        <v>7</v>
      </c>
      <c r="J285" s="32">
        <f t="shared" si="42"/>
        <v>91463135.299337283</v>
      </c>
      <c r="K285">
        <f t="shared" si="43"/>
        <v>0.60275490089788319</v>
      </c>
      <c r="L285" s="2">
        <f t="shared" si="44"/>
        <v>55129853.053161725</v>
      </c>
      <c r="O285" s="6" t="s">
        <v>75</v>
      </c>
      <c r="P285" s="13">
        <v>12470</v>
      </c>
      <c r="Q285" s="6">
        <v>7.82</v>
      </c>
      <c r="R285" s="6">
        <v>876</v>
      </c>
      <c r="T285" s="6" t="s">
        <v>170</v>
      </c>
    </row>
    <row r="286" spans="1:20" x14ac:dyDescent="0.35">
      <c r="A286" s="6" t="s">
        <v>76</v>
      </c>
      <c r="B286" s="13">
        <f t="shared" si="45"/>
        <v>9350.2876190476218</v>
      </c>
      <c r="C286" s="6">
        <v>7.63</v>
      </c>
      <c r="D286" s="6">
        <v>855</v>
      </c>
      <c r="E286" s="6">
        <v>197</v>
      </c>
      <c r="F286" s="13">
        <f>B286*112</f>
        <v>1047232.2133333336</v>
      </c>
      <c r="G286" s="13">
        <f>D286*B286</f>
        <v>7994495.9142857166</v>
      </c>
      <c r="H286" s="1">
        <f t="shared" si="41"/>
        <v>7786541.2189502725</v>
      </c>
      <c r="I286">
        <v>8</v>
      </c>
      <c r="J286" s="32">
        <f t="shared" si="42"/>
        <v>93438494.627403274</v>
      </c>
      <c r="K286">
        <f t="shared" si="43"/>
        <v>0.56070223339337966</v>
      </c>
      <c r="L286" s="2">
        <f t="shared" si="44"/>
        <v>52391172.622500323</v>
      </c>
      <c r="O286" s="6" t="s">
        <v>76</v>
      </c>
      <c r="P286" s="13">
        <v>13764</v>
      </c>
      <c r="Q286" s="6">
        <v>7.63</v>
      </c>
      <c r="R286" s="6">
        <v>855</v>
      </c>
      <c r="T286" s="6" t="s">
        <v>171</v>
      </c>
    </row>
    <row r="287" spans="1:20" x14ac:dyDescent="0.35">
      <c r="A287" s="6" t="s">
        <v>77</v>
      </c>
      <c r="B287" s="13">
        <f t="shared" si="45"/>
        <v>9809.5104761904786</v>
      </c>
      <c r="C287" s="6">
        <v>7.45</v>
      </c>
      <c r="D287" s="6">
        <v>834</v>
      </c>
      <c r="E287" s="6">
        <v>107</v>
      </c>
      <c r="F287" s="13">
        <f>B287*112</f>
        <v>1098665.1733333336</v>
      </c>
      <c r="G287" s="13">
        <f>D287*B287</f>
        <v>8181131.737142859</v>
      </c>
      <c r="H287" s="1">
        <f t="shared" si="41"/>
        <v>7942113.2534464467</v>
      </c>
      <c r="I287">
        <v>9</v>
      </c>
      <c r="J287" s="32">
        <f t="shared" si="42"/>
        <v>95305359.041357368</v>
      </c>
      <c r="K287">
        <f t="shared" si="43"/>
        <v>0.52158347292407414</v>
      </c>
      <c r="L287" s="2">
        <f t="shared" si="44"/>
        <v>49709700.157066986</v>
      </c>
      <c r="O287" s="6" t="s">
        <v>77</v>
      </c>
      <c r="P287" s="13">
        <v>15184</v>
      </c>
      <c r="Q287" s="6">
        <v>7.45</v>
      </c>
      <c r="R287" s="6">
        <v>834</v>
      </c>
      <c r="T287" s="6" t="s">
        <v>172</v>
      </c>
    </row>
    <row r="288" spans="1:20" x14ac:dyDescent="0.35">
      <c r="A288" s="6" t="s">
        <v>78</v>
      </c>
      <c r="B288" s="13">
        <f t="shared" si="45"/>
        <v>10294.245714285717</v>
      </c>
      <c r="C288" s="6">
        <v>7.25</v>
      </c>
      <c r="D288" s="6">
        <v>812</v>
      </c>
      <c r="E288" s="6">
        <v>20</v>
      </c>
      <c r="F288" s="13">
        <f>B288*112</f>
        <v>1152955.5200000003</v>
      </c>
      <c r="G288" s="13">
        <f>D288*B288</f>
        <v>8358927.5200000014</v>
      </c>
      <c r="H288" s="1">
        <f t="shared" si="41"/>
        <v>8088024.1069128402</v>
      </c>
      <c r="I288">
        <v>10</v>
      </c>
      <c r="J288" s="32">
        <f t="shared" si="42"/>
        <v>97056289.282954082</v>
      </c>
      <c r="K288">
        <f t="shared" si="43"/>
        <v>0.48519392830146441</v>
      </c>
      <c r="L288" s="2">
        <f t="shared" si="44"/>
        <v>47091122.263559811</v>
      </c>
      <c r="O288" s="6" t="s">
        <v>78</v>
      </c>
      <c r="P288" s="13">
        <v>16923</v>
      </c>
      <c r="Q288" s="6">
        <v>7.25</v>
      </c>
      <c r="R288" s="6">
        <v>812</v>
      </c>
      <c r="T288" s="6" t="s">
        <v>173</v>
      </c>
    </row>
    <row r="289" spans="1:20" x14ac:dyDescent="0.35">
      <c r="A289" s="6" t="s">
        <v>174</v>
      </c>
      <c r="B289" s="13">
        <f t="shared" si="45"/>
        <v>10294.245714285717</v>
      </c>
      <c r="C289" s="6">
        <v>5.12</v>
      </c>
      <c r="D289" s="6">
        <v>573</v>
      </c>
      <c r="E289" s="6">
        <v>0</v>
      </c>
      <c r="F289" s="13">
        <f>B289*112</f>
        <v>1152955.5200000003</v>
      </c>
      <c r="G289" s="13">
        <f>D289*B289</f>
        <v>5898602.7942857156</v>
      </c>
      <c r="H289" s="1">
        <f t="shared" si="41"/>
        <v>5688663.142247648</v>
      </c>
      <c r="I289">
        <v>11</v>
      </c>
      <c r="J289" s="32">
        <f t="shared" si="42"/>
        <v>68263957.706971779</v>
      </c>
      <c r="K289">
        <f t="shared" si="43"/>
        <v>0.45134318911764126</v>
      </c>
      <c r="L289" s="2">
        <f>K289*J289</f>
        <v>30810472.37325643</v>
      </c>
      <c r="O289" s="6" t="s">
        <v>174</v>
      </c>
      <c r="P289" s="13">
        <v>18156</v>
      </c>
      <c r="Q289" s="6">
        <v>5.12</v>
      </c>
      <c r="R289" s="6">
        <v>573</v>
      </c>
      <c r="T289" s="6" t="s">
        <v>175</v>
      </c>
    </row>
    <row r="290" spans="1:20" x14ac:dyDescent="0.35">
      <c r="C290">
        <f>AVERAGE(C279:C289)</f>
        <v>7.8863636363636376</v>
      </c>
      <c r="G290" s="1">
        <f>AVERAGE(G279:G289)</f>
        <v>7426164.7213852815</v>
      </c>
    </row>
    <row r="291" spans="1:20" x14ac:dyDescent="0.35">
      <c r="J291" s="32">
        <f>SUM(J279:J289)</f>
        <v>960908045.5758369</v>
      </c>
      <c r="K291" s="2"/>
      <c r="L291" s="2">
        <f>SUM(L279:L289)</f>
        <v>636752767.18743479</v>
      </c>
    </row>
    <row r="293" spans="1:20" ht="34.5" x14ac:dyDescent="0.35">
      <c r="A293" s="72" t="s">
        <v>180</v>
      </c>
      <c r="B293" s="73"/>
      <c r="C293" s="73"/>
      <c r="D293" s="73"/>
      <c r="E293" s="73"/>
      <c r="F293" s="73"/>
      <c r="G293" s="74"/>
    </row>
    <row r="294" spans="1:20" ht="61.5" x14ac:dyDescent="0.35">
      <c r="A294" s="71" t="s">
        <v>62</v>
      </c>
      <c r="B294" s="71" t="s">
        <v>178</v>
      </c>
      <c r="C294" s="71" t="s">
        <v>176</v>
      </c>
      <c r="D294" s="71" t="s">
        <v>66</v>
      </c>
      <c r="E294" s="71" t="s">
        <v>139</v>
      </c>
      <c r="F294" s="71" t="s">
        <v>144</v>
      </c>
      <c r="G294" s="71" t="s">
        <v>179</v>
      </c>
    </row>
    <row r="295" spans="1:20" x14ac:dyDescent="0.35">
      <c r="A295" t="s">
        <v>69</v>
      </c>
      <c r="B295" s="29">
        <v>6697</v>
      </c>
      <c r="C295">
        <v>9.14</v>
      </c>
      <c r="D295">
        <v>890</v>
      </c>
      <c r="E295" s="29">
        <v>750064</v>
      </c>
      <c r="F295" s="29">
        <v>6851031</v>
      </c>
      <c r="G295" s="29">
        <v>6828496.960031894</v>
      </c>
      <c r="H295">
        <v>1</v>
      </c>
      <c r="I295" s="29">
        <v>81941963.520382702</v>
      </c>
      <c r="J295">
        <v>0.93023255813953487</v>
      </c>
      <c r="K295">
        <v>76225082.344542071</v>
      </c>
    </row>
    <row r="296" spans="1:20" x14ac:dyDescent="0.35">
      <c r="A296" t="s">
        <v>70</v>
      </c>
      <c r="B296" s="29">
        <v>7015.9047619047624</v>
      </c>
      <c r="C296">
        <v>8.91</v>
      </c>
      <c r="D296">
        <v>783</v>
      </c>
      <c r="E296" s="29">
        <v>785781.33333333337</v>
      </c>
      <c r="F296" s="29">
        <v>7001872.9523809524</v>
      </c>
      <c r="G296" s="29">
        <v>6955888.339714814</v>
      </c>
      <c r="H296">
        <v>2</v>
      </c>
      <c r="I296" s="29">
        <v>83470660.076577768</v>
      </c>
      <c r="J296">
        <v>0.86533261222282321</v>
      </c>
      <c r="K296">
        <v>72229884.328028366</v>
      </c>
    </row>
    <row r="297" spans="1:20" x14ac:dyDescent="0.35">
      <c r="A297" t="s">
        <v>71</v>
      </c>
      <c r="B297" s="29">
        <v>7373.0780952380965</v>
      </c>
      <c r="C297">
        <v>8.69</v>
      </c>
      <c r="D297">
        <v>679</v>
      </c>
      <c r="E297" s="29">
        <v>825784.74666666682</v>
      </c>
      <c r="F297" s="29">
        <v>7174004.9866666682</v>
      </c>
      <c r="G297" s="29">
        <v>7103448.5213653268</v>
      </c>
      <c r="H297">
        <v>3</v>
      </c>
      <c r="I297" s="29">
        <v>85241382.256383926</v>
      </c>
      <c r="J297">
        <v>0.80496056950960304</v>
      </c>
      <c r="K297">
        <v>68615951.606884569</v>
      </c>
    </row>
    <row r="298" spans="1:20" x14ac:dyDescent="0.35">
      <c r="A298" t="s">
        <v>72</v>
      </c>
      <c r="B298" s="29">
        <v>7717.4952380952391</v>
      </c>
      <c r="C298">
        <v>8.4600000000000009</v>
      </c>
      <c r="D298">
        <v>578</v>
      </c>
      <c r="E298" s="29">
        <v>864359.46666666679</v>
      </c>
      <c r="F298" s="29">
        <v>7308467.990476191</v>
      </c>
      <c r="G298" s="29">
        <v>7212786.88245383</v>
      </c>
      <c r="H298">
        <v>4</v>
      </c>
      <c r="I298" s="29">
        <v>86553442.589445964</v>
      </c>
      <c r="J298">
        <v>0.7488005297763749</v>
      </c>
      <c r="K298">
        <v>64811263.664946191</v>
      </c>
    </row>
    <row r="299" spans="1:20" x14ac:dyDescent="0.35">
      <c r="A299" t="s">
        <v>73</v>
      </c>
      <c r="B299" s="29">
        <v>8100.1809523809543</v>
      </c>
      <c r="C299">
        <v>8.24</v>
      </c>
      <c r="D299">
        <v>479</v>
      </c>
      <c r="E299" s="29">
        <v>907220.26666666684</v>
      </c>
      <c r="F299" s="29">
        <v>7476467.0190476207</v>
      </c>
      <c r="G299" s="29">
        <v>7354317.2519569024</v>
      </c>
      <c r="H299">
        <v>5</v>
      </c>
      <c r="I299" s="29">
        <v>88251807.023482829</v>
      </c>
      <c r="J299">
        <v>0.69655863235011617</v>
      </c>
      <c r="K299">
        <v>61472558.002703577</v>
      </c>
    </row>
    <row r="300" spans="1:20" x14ac:dyDescent="0.35">
      <c r="A300" t="s">
        <v>74</v>
      </c>
      <c r="B300" s="29">
        <v>8482.8666666666686</v>
      </c>
      <c r="C300">
        <v>8.0399999999999991</v>
      </c>
      <c r="D300">
        <v>382</v>
      </c>
      <c r="E300" s="29">
        <v>950081.06666666688</v>
      </c>
      <c r="F300" s="29">
        <v>7643062.8666666681</v>
      </c>
      <c r="G300" s="29">
        <v>7493462.845961662</v>
      </c>
      <c r="H300">
        <v>6</v>
      </c>
      <c r="I300" s="29">
        <v>89921554.151539952</v>
      </c>
      <c r="J300">
        <v>0.64796151846522443</v>
      </c>
      <c r="K300">
        <v>58265706.770784736</v>
      </c>
    </row>
    <row r="301" spans="1:20" x14ac:dyDescent="0.35">
      <c r="A301" t="s">
        <v>75</v>
      </c>
      <c r="B301" s="29">
        <v>8903.8209523809546</v>
      </c>
      <c r="C301">
        <v>7.82</v>
      </c>
      <c r="D301">
        <v>288</v>
      </c>
      <c r="E301" s="29">
        <v>997227.94666666689</v>
      </c>
      <c r="F301" s="29">
        <v>7799747.1542857159</v>
      </c>
      <c r="G301" s="29">
        <v>7621927.9416114399</v>
      </c>
      <c r="H301">
        <v>7</v>
      </c>
      <c r="I301" s="29">
        <v>91463135.299337283</v>
      </c>
      <c r="J301">
        <v>0.60275490089788319</v>
      </c>
      <c r="K301">
        <v>55129853.053161725</v>
      </c>
    </row>
    <row r="302" spans="1:20" x14ac:dyDescent="0.35">
      <c r="A302" t="s">
        <v>76</v>
      </c>
      <c r="B302" s="29">
        <v>9350.2876190476218</v>
      </c>
      <c r="C302">
        <v>7.63</v>
      </c>
      <c r="D302">
        <v>197</v>
      </c>
      <c r="E302" s="29">
        <v>1047232.2133333336</v>
      </c>
      <c r="F302" s="29">
        <v>7994495.9142857166</v>
      </c>
      <c r="G302" s="29">
        <v>7786541.2189502725</v>
      </c>
      <c r="H302">
        <v>8</v>
      </c>
      <c r="I302" s="29">
        <v>93438494.627403274</v>
      </c>
      <c r="J302">
        <v>0.56070223339337966</v>
      </c>
      <c r="K302">
        <v>52391172.622500323</v>
      </c>
    </row>
    <row r="303" spans="1:20" x14ac:dyDescent="0.35">
      <c r="A303" t="s">
        <v>77</v>
      </c>
      <c r="B303" s="29">
        <v>9809.5104761904786</v>
      </c>
      <c r="C303">
        <v>7.45</v>
      </c>
      <c r="D303">
        <v>107</v>
      </c>
      <c r="E303" s="29">
        <v>1098665.1733333336</v>
      </c>
      <c r="F303" s="29">
        <v>8181131.737142859</v>
      </c>
      <c r="G303" s="29">
        <v>7942113.2534464467</v>
      </c>
      <c r="H303">
        <v>9</v>
      </c>
      <c r="I303" s="29">
        <v>95305359.041357368</v>
      </c>
      <c r="J303">
        <v>0.52158347292407414</v>
      </c>
      <c r="K303">
        <v>49709700.157066986</v>
      </c>
    </row>
    <row r="304" spans="1:20" x14ac:dyDescent="0.35">
      <c r="A304" t="s">
        <v>78</v>
      </c>
      <c r="B304" s="29">
        <v>10294.245714285717</v>
      </c>
      <c r="C304">
        <v>7.25</v>
      </c>
      <c r="D304">
        <v>20</v>
      </c>
      <c r="E304" s="29">
        <v>1152955.5200000003</v>
      </c>
      <c r="F304" s="29">
        <v>8358927.5200000014</v>
      </c>
      <c r="G304" s="29">
        <v>8088024.1069128402</v>
      </c>
      <c r="H304">
        <v>10</v>
      </c>
      <c r="I304" s="29">
        <v>97056289.282954082</v>
      </c>
      <c r="J304">
        <v>0.48519392830146441</v>
      </c>
      <c r="K304">
        <v>47091122.263559811</v>
      </c>
    </row>
    <row r="305" spans="1:11" x14ac:dyDescent="0.35">
      <c r="A305" t="s">
        <v>174</v>
      </c>
      <c r="B305" s="29">
        <v>10294.245714285717</v>
      </c>
      <c r="C305">
        <v>5.12</v>
      </c>
      <c r="D305">
        <v>0</v>
      </c>
      <c r="E305" s="29">
        <v>1152955.5200000003</v>
      </c>
      <c r="F305" s="29">
        <v>5898602.7942857156</v>
      </c>
      <c r="G305" s="29">
        <v>5688663.142247648</v>
      </c>
      <c r="H305">
        <v>11</v>
      </c>
      <c r="I305" s="29">
        <v>68263957.706971779</v>
      </c>
      <c r="J305">
        <v>0.45134318911764126</v>
      </c>
      <c r="K305">
        <v>30810472.37325643</v>
      </c>
    </row>
    <row r="306" spans="1:11" x14ac:dyDescent="0.35">
      <c r="C306">
        <v>7.8863636363636376</v>
      </c>
      <c r="F306" s="33">
        <v>7426164.7213852815</v>
      </c>
    </row>
    <row r="307" spans="1:11" x14ac:dyDescent="0.35">
      <c r="F307" s="31">
        <f>(F295*12)</f>
        <v>82212372</v>
      </c>
      <c r="I307">
        <v>636752767.18743503</v>
      </c>
      <c r="J307">
        <v>636752767.18743479</v>
      </c>
    </row>
    <row r="308" spans="1:11" x14ac:dyDescent="0.35">
      <c r="F308" s="31">
        <f>F307+(F296*12)</f>
        <v>166234847.42857143</v>
      </c>
    </row>
    <row r="309" spans="1:11" x14ac:dyDescent="0.35">
      <c r="F309" s="31">
        <f t="shared" ref="F309:F316" si="46">F308+(F297*12)</f>
        <v>252322907.26857144</v>
      </c>
    </row>
    <row r="310" spans="1:11" x14ac:dyDescent="0.35">
      <c r="F310" s="31">
        <f t="shared" si="46"/>
        <v>340024523.15428573</v>
      </c>
    </row>
    <row r="311" spans="1:11" x14ac:dyDescent="0.35">
      <c r="F311" s="31">
        <f t="shared" si="46"/>
        <v>429742127.3828572</v>
      </c>
    </row>
    <row r="312" spans="1:11" x14ac:dyDescent="0.35">
      <c r="F312" s="31">
        <f t="shared" si="46"/>
        <v>521458881.78285724</v>
      </c>
    </row>
    <row r="313" spans="1:11" x14ac:dyDescent="0.35">
      <c r="F313" s="31">
        <f t="shared" si="46"/>
        <v>615055847.63428581</v>
      </c>
    </row>
    <row r="314" spans="1:11" x14ac:dyDescent="0.35">
      <c r="F314" s="31">
        <f t="shared" si="46"/>
        <v>710989798.60571444</v>
      </c>
    </row>
    <row r="315" spans="1:11" x14ac:dyDescent="0.35">
      <c r="F315" s="31">
        <f t="shared" si="46"/>
        <v>809163379.45142877</v>
      </c>
    </row>
    <row r="316" spans="1:11" x14ac:dyDescent="0.35">
      <c r="F316" s="31">
        <f t="shared" si="46"/>
        <v>909470509.69142878</v>
      </c>
    </row>
    <row r="317" spans="1:11" x14ac:dyDescent="0.35">
      <c r="F317" s="31">
        <f>F316+(F305*12)</f>
        <v>980253743.22285736</v>
      </c>
    </row>
    <row r="320" spans="1:11" ht="34.5" x14ac:dyDescent="0.35">
      <c r="A320" s="72" t="s">
        <v>182</v>
      </c>
      <c r="B320" s="73"/>
      <c r="C320" s="73"/>
      <c r="D320" s="73"/>
      <c r="E320" s="73"/>
      <c r="F320" s="73"/>
      <c r="G320" s="74"/>
    </row>
    <row r="321" spans="1:13" ht="61.5" x14ac:dyDescent="0.35">
      <c r="A321" s="71" t="s">
        <v>62</v>
      </c>
      <c r="B321" s="71" t="s">
        <v>178</v>
      </c>
      <c r="C321" s="71" t="s">
        <v>176</v>
      </c>
      <c r="D321" s="71" t="s">
        <v>66</v>
      </c>
      <c r="E321" s="71" t="s">
        <v>181</v>
      </c>
      <c r="F321" s="71" t="s">
        <v>144</v>
      </c>
      <c r="G321" s="71" t="s">
        <v>179</v>
      </c>
    </row>
    <row r="322" spans="1:13" x14ac:dyDescent="0.35">
      <c r="A322" s="6" t="s">
        <v>69</v>
      </c>
      <c r="B322" s="13">
        <v>7900</v>
      </c>
      <c r="C322" s="75">
        <v>8.7200000000000006</v>
      </c>
      <c r="D322" s="6">
        <v>895</v>
      </c>
      <c r="E322" s="1">
        <f>B322*128</f>
        <v>1011200</v>
      </c>
      <c r="F322" s="13">
        <f>B322*I322</f>
        <v>8816400</v>
      </c>
      <c r="G322" s="1">
        <f>F322/((1+0.0033)^J322)</f>
        <v>8787401.5748031493</v>
      </c>
      <c r="I322" s="15">
        <v>1116</v>
      </c>
      <c r="J322">
        <v>1</v>
      </c>
      <c r="K322" s="32">
        <f>G322*12</f>
        <v>105448818.89763778</v>
      </c>
      <c r="L322">
        <f>1/(1.075)^J322</f>
        <v>0.93023255813953487</v>
      </c>
      <c r="M322" s="2">
        <f>L322*K322</f>
        <v>98091924.555942118</v>
      </c>
    </row>
    <row r="323" spans="1:13" x14ac:dyDescent="0.35">
      <c r="A323" s="6" t="s">
        <v>70</v>
      </c>
      <c r="B323" s="13">
        <f>B322*(1+J103)</f>
        <v>8276.1904761904771</v>
      </c>
      <c r="C323" s="75">
        <v>8.5</v>
      </c>
      <c r="D323" s="6">
        <v>793</v>
      </c>
      <c r="E323" s="1">
        <f t="shared" ref="E323:E332" si="47">B323*128</f>
        <v>1059352.3809523811</v>
      </c>
      <c r="F323" s="13">
        <f>B323*I323</f>
        <v>9004495.2380952388</v>
      </c>
      <c r="G323" s="1">
        <f>F323/((1+0.0033)^J323)</f>
        <v>8945358.4573233034</v>
      </c>
      <c r="I323" s="15">
        <v>1088</v>
      </c>
      <c r="J323">
        <v>2</v>
      </c>
      <c r="K323" s="32">
        <f>G323*12</f>
        <v>107344301.48787963</v>
      </c>
      <c r="L323">
        <f t="shared" ref="L323:L332" si="48">1/(1.075)^J323</f>
        <v>0.86533261222282321</v>
      </c>
      <c r="M323" s="2">
        <f t="shared" ref="M323:M331" si="49">L323*K323</f>
        <v>92888524.813741177</v>
      </c>
    </row>
    <row r="324" spans="1:13" x14ac:dyDescent="0.35">
      <c r="A324" s="6" t="s">
        <v>71</v>
      </c>
      <c r="B324" s="13">
        <f t="shared" ref="B324:B331" si="50">B323*(1+J104)</f>
        <v>8697.523809523811</v>
      </c>
      <c r="C324" s="75">
        <v>8.3000000000000007</v>
      </c>
      <c r="D324" s="6">
        <v>694</v>
      </c>
      <c r="E324" s="1">
        <f t="shared" si="47"/>
        <v>1113283.0476190478</v>
      </c>
      <c r="F324" s="13">
        <f>B324*I324</f>
        <v>9236770.2857142873</v>
      </c>
      <c r="G324" s="1">
        <f>F324/((1+0.0033)^J324)</f>
        <v>9145926.487393586</v>
      </c>
      <c r="I324" s="15">
        <v>1062</v>
      </c>
      <c r="J324">
        <v>3</v>
      </c>
      <c r="K324" s="32">
        <f>G324*12</f>
        <v>109751117.84872302</v>
      </c>
      <c r="L324">
        <f t="shared" si="48"/>
        <v>0.80496056950960304</v>
      </c>
      <c r="M324" s="2">
        <f t="shared" si="49"/>
        <v>88345322.327823639</v>
      </c>
    </row>
    <row r="325" spans="1:13" x14ac:dyDescent="0.35">
      <c r="A325" s="6" t="s">
        <v>72</v>
      </c>
      <c r="B325" s="13">
        <f t="shared" si="50"/>
        <v>9103.8095238095248</v>
      </c>
      <c r="C325" s="75">
        <v>8.1300000000000008</v>
      </c>
      <c r="D325" s="6">
        <v>596</v>
      </c>
      <c r="E325" s="1">
        <f t="shared" si="47"/>
        <v>1165287.6190476192</v>
      </c>
      <c r="F325" s="13">
        <f>B325*I325</f>
        <v>9467961.9047619049</v>
      </c>
      <c r="G325" s="1">
        <f>F325/((1+0.0033)^J325)</f>
        <v>9344009.1027599499</v>
      </c>
      <c r="I325" s="15">
        <v>1040</v>
      </c>
      <c r="J325">
        <v>4</v>
      </c>
      <c r="K325" s="32">
        <f>G325*12</f>
        <v>112128109.2331194</v>
      </c>
      <c r="L325">
        <f t="shared" si="48"/>
        <v>0.7488005297763749</v>
      </c>
      <c r="M325" s="2">
        <f t="shared" si="49"/>
        <v>83961587.596583039</v>
      </c>
    </row>
    <row r="326" spans="1:13" x14ac:dyDescent="0.35">
      <c r="A326" s="6" t="s">
        <v>73</v>
      </c>
      <c r="B326" s="13">
        <f t="shared" si="50"/>
        <v>9555.2380952380972</v>
      </c>
      <c r="C326" s="75">
        <v>7.93</v>
      </c>
      <c r="D326" s="6">
        <v>501</v>
      </c>
      <c r="E326" s="1">
        <f t="shared" si="47"/>
        <v>1223070.4761904764</v>
      </c>
      <c r="F326" s="13">
        <f>B326*I326</f>
        <v>9698566.6666666679</v>
      </c>
      <c r="G326" s="1">
        <f>F326/((1+0.0033)^J326)</f>
        <v>9540112.4587595146</v>
      </c>
      <c r="I326" s="15">
        <v>1015</v>
      </c>
      <c r="J326">
        <v>5</v>
      </c>
      <c r="K326" s="32">
        <f>G326*12</f>
        <v>114481349.50511417</v>
      </c>
      <c r="L326">
        <f t="shared" si="48"/>
        <v>0.69655863235011617</v>
      </c>
      <c r="M326" s="2">
        <f t="shared" si="49"/>
        <v>79742972.240877971</v>
      </c>
    </row>
    <row r="327" spans="1:13" x14ac:dyDescent="0.35">
      <c r="A327" s="6" t="s">
        <v>74</v>
      </c>
      <c r="B327" s="13">
        <f t="shared" si="50"/>
        <v>10006.666666666668</v>
      </c>
      <c r="C327" s="75">
        <v>7.74</v>
      </c>
      <c r="D327" s="6">
        <v>408</v>
      </c>
      <c r="E327" s="1">
        <f t="shared" si="47"/>
        <v>1280853.3333333335</v>
      </c>
      <c r="F327" s="13">
        <f>B327*I327</f>
        <v>9906600.0000000019</v>
      </c>
      <c r="G327" s="1">
        <f>F327/((1+0.0033)^J327)</f>
        <v>9712695.070658166</v>
      </c>
      <c r="I327" s="6">
        <v>990</v>
      </c>
      <c r="J327">
        <v>6</v>
      </c>
      <c r="K327" s="32">
        <f>G327*12</f>
        <v>116552340.84789799</v>
      </c>
      <c r="L327">
        <f t="shared" si="48"/>
        <v>0.64796151846522443</v>
      </c>
      <c r="M327" s="2">
        <f t="shared" si="49"/>
        <v>75521431.756480381</v>
      </c>
    </row>
    <row r="328" spans="1:13" x14ac:dyDescent="0.35">
      <c r="A328" s="6" t="s">
        <v>75</v>
      </c>
      <c r="B328" s="13">
        <f t="shared" si="50"/>
        <v>10503.238095238095</v>
      </c>
      <c r="C328" s="75">
        <v>7.53</v>
      </c>
      <c r="D328" s="6">
        <v>318</v>
      </c>
      <c r="E328" s="1">
        <f t="shared" si="47"/>
        <v>1344414.4761904762</v>
      </c>
      <c r="F328" s="13">
        <f>B328*I328</f>
        <v>10125121.523809524</v>
      </c>
      <c r="G328" s="1">
        <f>F328/((1+0.0033)^J328)</f>
        <v>9894288.2542200238</v>
      </c>
      <c r="I328" s="6">
        <v>964</v>
      </c>
      <c r="J328">
        <v>7</v>
      </c>
      <c r="K328" s="32">
        <f>G328*12</f>
        <v>118731459.05064029</v>
      </c>
      <c r="L328">
        <f t="shared" si="48"/>
        <v>0.60275490089788319</v>
      </c>
      <c r="M328" s="2">
        <f t="shared" si="49"/>
        <v>71565968.833529755</v>
      </c>
    </row>
    <row r="329" spans="1:13" x14ac:dyDescent="0.35">
      <c r="A329" s="6" t="s">
        <v>76</v>
      </c>
      <c r="B329" s="13">
        <f t="shared" si="50"/>
        <v>11029.904761904761</v>
      </c>
      <c r="C329" s="75">
        <v>7.35</v>
      </c>
      <c r="D329" s="6">
        <v>230</v>
      </c>
      <c r="E329" s="1">
        <f t="shared" si="47"/>
        <v>1411827.8095238095</v>
      </c>
      <c r="F329" s="13">
        <f>B329*I329</f>
        <v>10379140.380952381</v>
      </c>
      <c r="G329" s="1">
        <f>F329/((1+0.0033)^J329)</f>
        <v>10109155.756667586</v>
      </c>
      <c r="I329" s="6">
        <v>941</v>
      </c>
      <c r="J329">
        <v>8</v>
      </c>
      <c r="K329" s="32">
        <f>G329*12</f>
        <v>121309869.08001104</v>
      </c>
      <c r="L329">
        <f t="shared" si="48"/>
        <v>0.56070223339337966</v>
      </c>
      <c r="M329" s="2">
        <f t="shared" si="49"/>
        <v>68018714.525820687</v>
      </c>
    </row>
    <row r="330" spans="1:13" x14ac:dyDescent="0.35">
      <c r="A330" s="6" t="s">
        <v>77</v>
      </c>
      <c r="B330" s="13">
        <f t="shared" si="50"/>
        <v>11571.619047619048</v>
      </c>
      <c r="C330" s="75">
        <v>7.16</v>
      </c>
      <c r="D330" s="6">
        <v>144</v>
      </c>
      <c r="E330" s="1">
        <f t="shared" si="47"/>
        <v>1481167.2380952381</v>
      </c>
      <c r="F330" s="13">
        <f>B330*I330</f>
        <v>10599603.047619049</v>
      </c>
      <c r="G330" s="1">
        <f>F330/((1+0.0033)^J330)</f>
        <v>10289926.938050549</v>
      </c>
      <c r="I330" s="6">
        <v>916</v>
      </c>
      <c r="J330">
        <v>9</v>
      </c>
      <c r="K330" s="32">
        <f>G330*12</f>
        <v>123479123.25660659</v>
      </c>
      <c r="L330">
        <f t="shared" si="48"/>
        <v>0.52158347292407414</v>
      </c>
      <c r="M330" s="2">
        <f t="shared" si="49"/>
        <v>64404669.941800676</v>
      </c>
    </row>
    <row r="331" spans="1:13" x14ac:dyDescent="0.35">
      <c r="A331" s="6" t="s">
        <v>78</v>
      </c>
      <c r="B331" s="13">
        <f t="shared" si="50"/>
        <v>12143.428571428572</v>
      </c>
      <c r="C331" s="75">
        <v>6.99</v>
      </c>
      <c r="D331" s="6">
        <v>60</v>
      </c>
      <c r="E331" s="1">
        <f t="shared" si="47"/>
        <v>1554358.8571428573</v>
      </c>
      <c r="F331" s="13">
        <f>B331*I331</f>
        <v>10856225.142857144</v>
      </c>
      <c r="G331" s="1">
        <f>F331/((1+0.0033)^J331)</f>
        <v>10504387.130455924</v>
      </c>
      <c r="I331" s="6">
        <v>894</v>
      </c>
      <c r="J331">
        <v>10</v>
      </c>
      <c r="K331" s="32">
        <f>G331*12</f>
        <v>126052645.56547108</v>
      </c>
      <c r="L331">
        <f t="shared" si="48"/>
        <v>0.48519392830146441</v>
      </c>
      <c r="M331" s="2">
        <f t="shared" si="49"/>
        <v>61159978.274703085</v>
      </c>
    </row>
    <row r="332" spans="1:13" x14ac:dyDescent="0.35">
      <c r="A332" s="6" t="s">
        <v>174</v>
      </c>
      <c r="B332" s="13">
        <f>B331*(1+J111)</f>
        <v>12743.493962474458</v>
      </c>
      <c r="C332" s="75">
        <v>6</v>
      </c>
      <c r="D332" s="6">
        <v>0</v>
      </c>
      <c r="E332" s="1">
        <f t="shared" si="47"/>
        <v>1631167.2271967307</v>
      </c>
      <c r="F332" s="13">
        <f>B332*I332</f>
        <v>9787003.363180384</v>
      </c>
      <c r="G332" s="1">
        <f>F332/((1+0.0033)^J332)</f>
        <v>9438670.0116700977</v>
      </c>
      <c r="I332" s="6">
        <v>768</v>
      </c>
      <c r="J332">
        <v>11</v>
      </c>
      <c r="K332" s="32">
        <f>G332*12</f>
        <v>113264040.14004117</v>
      </c>
      <c r="L332">
        <f t="shared" si="48"/>
        <v>0.45134318911764126</v>
      </c>
      <c r="M332" s="2">
        <f>L332*K332</f>
        <v>51120953.089154713</v>
      </c>
    </row>
    <row r="333" spans="1:13" x14ac:dyDescent="0.35">
      <c r="C333" s="76">
        <f>AVERAGE(C322:C332)</f>
        <v>7.668181818181818</v>
      </c>
      <c r="F333" s="77">
        <f>AVERAGE(F322:F332)</f>
        <v>9807080.6866960526</v>
      </c>
    </row>
    <row r="334" spans="1:13" x14ac:dyDescent="0.35">
      <c r="F334" s="31">
        <f>(F322*12)</f>
        <v>105796800</v>
      </c>
      <c r="K334" s="32">
        <f>SUM(K322:K332)</f>
        <v>1268543174.913142</v>
      </c>
      <c r="L334" s="2"/>
      <c r="M334" s="2">
        <f>SUM(M322:M332)</f>
        <v>834822047.95645738</v>
      </c>
    </row>
    <row r="335" spans="1:13" x14ac:dyDescent="0.35">
      <c r="F335" s="31">
        <f>F334+(F323*12)</f>
        <v>213850742.85714287</v>
      </c>
      <c r="K335" s="32"/>
      <c r="L335" s="2"/>
      <c r="M335" s="2"/>
    </row>
    <row r="336" spans="1:13" x14ac:dyDescent="0.35">
      <c r="F336" s="31">
        <f t="shared" ref="F336:F343" si="51">F335+(F324*12)</f>
        <v>324691986.28571433</v>
      </c>
      <c r="K336" s="32"/>
      <c r="L336" s="2"/>
      <c r="M336" s="2"/>
    </row>
    <row r="337" spans="6:13" x14ac:dyDescent="0.35">
      <c r="F337" s="31">
        <f t="shared" si="51"/>
        <v>438307529.14285719</v>
      </c>
      <c r="K337" s="32"/>
      <c r="L337" s="2"/>
      <c r="M337" s="2"/>
    </row>
    <row r="338" spans="6:13" x14ac:dyDescent="0.35">
      <c r="F338" s="31">
        <f t="shared" si="51"/>
        <v>554690329.14285719</v>
      </c>
      <c r="K338" s="32"/>
      <c r="L338" s="2"/>
      <c r="M338" s="2"/>
    </row>
    <row r="339" spans="6:13" x14ac:dyDescent="0.35">
      <c r="F339" s="31">
        <f t="shared" si="51"/>
        <v>673569529.14285719</v>
      </c>
      <c r="K339" s="32"/>
      <c r="L339" s="2"/>
      <c r="M339" s="2"/>
    </row>
    <row r="340" spans="6:13" x14ac:dyDescent="0.35">
      <c r="F340" s="31">
        <f t="shared" si="51"/>
        <v>795070987.42857146</v>
      </c>
      <c r="K340" s="32"/>
      <c r="L340" s="2"/>
      <c r="M340" s="2"/>
    </row>
    <row r="341" spans="6:13" x14ac:dyDescent="0.35">
      <c r="F341" s="31">
        <f t="shared" si="51"/>
        <v>919620672</v>
      </c>
      <c r="K341" s="32"/>
      <c r="L341" s="2"/>
      <c r="M341" s="2"/>
    </row>
    <row r="342" spans="6:13" x14ac:dyDescent="0.35">
      <c r="F342" s="31">
        <f t="shared" si="51"/>
        <v>1046815908.5714285</v>
      </c>
      <c r="K342" s="32"/>
      <c r="L342" s="2"/>
      <c r="M342" s="2"/>
    </row>
    <row r="343" spans="6:13" x14ac:dyDescent="0.35">
      <c r="F343" s="31">
        <f t="shared" si="51"/>
        <v>1177090610.2857141</v>
      </c>
      <c r="K343" s="32"/>
      <c r="L343" s="2"/>
      <c r="M343" s="2"/>
    </row>
    <row r="344" spans="6:13" x14ac:dyDescent="0.35">
      <c r="F344" s="31">
        <f>F343+(F332*12)</f>
        <v>1294534650.6438787</v>
      </c>
      <c r="K344" s="32"/>
      <c r="L344" s="2"/>
      <c r="M344" s="2"/>
    </row>
    <row r="345" spans="6:13" x14ac:dyDescent="0.35">
      <c r="K345" s="32"/>
      <c r="L345" s="2"/>
      <c r="M345" s="2"/>
    </row>
    <row r="346" spans="6:13" x14ac:dyDescent="0.35">
      <c r="K346" s="32"/>
      <c r="L346" s="2"/>
      <c r="M346" s="2"/>
    </row>
    <row r="347" spans="6:13" x14ac:dyDescent="0.35">
      <c r="K347" s="32"/>
      <c r="L347" s="2"/>
      <c r="M347" s="2"/>
    </row>
    <row r="348" spans="6:13" x14ac:dyDescent="0.35">
      <c r="K348" s="32"/>
      <c r="L348" s="2"/>
      <c r="M348" s="2"/>
    </row>
    <row r="349" spans="6:13" x14ac:dyDescent="0.35">
      <c r="K349" s="32"/>
      <c r="L349" s="2"/>
      <c r="M349" s="2"/>
    </row>
    <row r="350" spans="6:13" x14ac:dyDescent="0.35">
      <c r="K350" s="32"/>
      <c r="L350" s="2"/>
      <c r="M350" s="2"/>
    </row>
    <row r="351" spans="6:13" x14ac:dyDescent="0.35">
      <c r="K351" s="32"/>
      <c r="L351" s="2"/>
      <c r="M351" s="2"/>
    </row>
    <row r="358" spans="1:6" ht="102" customHeight="1" x14ac:dyDescent="0.55000000000000004">
      <c r="A358" s="69" t="s">
        <v>129</v>
      </c>
      <c r="B358" s="69" t="s">
        <v>130</v>
      </c>
      <c r="C358" s="34" t="s">
        <v>134</v>
      </c>
      <c r="D358" s="69" t="s">
        <v>132</v>
      </c>
      <c r="E358" s="69" t="s">
        <v>133</v>
      </c>
      <c r="F358">
        <v>517782308.57142866</v>
      </c>
    </row>
    <row r="359" spans="1:6" ht="31" x14ac:dyDescent="0.4">
      <c r="A359" s="70"/>
      <c r="B359" s="70"/>
      <c r="C359" s="35" t="s">
        <v>131</v>
      </c>
      <c r="D359" s="70"/>
      <c r="E359" s="70"/>
      <c r="F359">
        <v>625393965.71428585</v>
      </c>
    </row>
    <row r="360" spans="1:6" x14ac:dyDescent="0.35">
      <c r="F360">
        <v>734000272.00000012</v>
      </c>
    </row>
    <row r="361" spans="1:6" x14ac:dyDescent="0.35">
      <c r="F361">
        <v>843198272.00000012</v>
      </c>
    </row>
    <row r="362" spans="1:6" x14ac:dyDescent="0.35">
      <c r="F362">
        <v>949672468.57142878</v>
      </c>
    </row>
    <row r="363" spans="1:6" x14ac:dyDescent="0.35">
      <c r="F363">
        <v>1047895897.1428573</v>
      </c>
    </row>
    <row r="364" spans="1:6" x14ac:dyDescent="0.35">
      <c r="F364" s="33">
        <v>1152287731.9480522</v>
      </c>
    </row>
    <row r="370" spans="1:11" ht="18" x14ac:dyDescent="0.35">
      <c r="A370" s="36" t="s">
        <v>135</v>
      </c>
    </row>
    <row r="371" spans="1:11" ht="36" x14ac:dyDescent="0.35">
      <c r="A371" s="36" t="s">
        <v>146</v>
      </c>
    </row>
    <row r="372" spans="1:11" ht="36" x14ac:dyDescent="0.35">
      <c r="A372" s="47" t="s">
        <v>135</v>
      </c>
      <c r="B372" s="37" t="s">
        <v>136</v>
      </c>
      <c r="C372" s="37" t="s">
        <v>137</v>
      </c>
      <c r="D372" s="37" t="s">
        <v>138</v>
      </c>
      <c r="E372" s="37" t="s">
        <v>139</v>
      </c>
      <c r="F372" s="37" t="s">
        <v>140</v>
      </c>
      <c r="G372" s="37" t="s">
        <v>141</v>
      </c>
      <c r="H372" s="37" t="s">
        <v>142</v>
      </c>
      <c r="I372" s="37" t="s">
        <v>143</v>
      </c>
      <c r="J372" s="37" t="s">
        <v>144</v>
      </c>
      <c r="K372" s="37" t="s">
        <v>145</v>
      </c>
    </row>
    <row r="373" spans="1:11" ht="25.5" x14ac:dyDescent="0.55000000000000004">
      <c r="A373" s="45" t="s">
        <v>149</v>
      </c>
      <c r="B373">
        <v>120</v>
      </c>
      <c r="C373" s="38">
        <v>5300</v>
      </c>
      <c r="D373" s="38">
        <v>662500</v>
      </c>
      <c r="E373" s="38">
        <v>968400</v>
      </c>
      <c r="F373" s="37">
        <v>3.8</v>
      </c>
      <c r="G373" s="37">
        <v>8.1999999999999993</v>
      </c>
      <c r="H373" s="37">
        <v>10.8</v>
      </c>
      <c r="I373" s="37" t="s">
        <v>150</v>
      </c>
      <c r="J373" s="44">
        <v>6362484</v>
      </c>
      <c r="K373" s="44">
        <v>763498000</v>
      </c>
    </row>
    <row r="374" spans="1:11" ht="25.5" x14ac:dyDescent="0.55000000000000004">
      <c r="A374" s="45" t="s">
        <v>151</v>
      </c>
      <c r="B374">
        <v>112</v>
      </c>
      <c r="C374" s="38">
        <v>5100</v>
      </c>
      <c r="D374" s="38">
        <v>571200</v>
      </c>
      <c r="E374" s="38">
        <v>877968</v>
      </c>
      <c r="F374" s="37">
        <v>3.5</v>
      </c>
      <c r="G374" s="37">
        <v>7.8</v>
      </c>
      <c r="H374" s="37">
        <v>9.6</v>
      </c>
      <c r="I374" s="37" t="s">
        <v>152</v>
      </c>
      <c r="J374" s="44">
        <v>5445382</v>
      </c>
      <c r="K374" s="44">
        <v>653445806</v>
      </c>
    </row>
    <row r="375" spans="1:11" ht="51" customHeight="1" x14ac:dyDescent="0.55000000000000004">
      <c r="A375" s="46" t="s">
        <v>153</v>
      </c>
      <c r="B375" s="37">
        <v>131</v>
      </c>
      <c r="C375" s="38">
        <v>5143</v>
      </c>
      <c r="D375" s="38">
        <v>674257</v>
      </c>
      <c r="E375" s="38">
        <v>1036429</v>
      </c>
      <c r="F375" s="37">
        <v>6.5</v>
      </c>
      <c r="G375" s="37">
        <v>8.5</v>
      </c>
      <c r="H375" s="37">
        <v>9.6999999999999993</v>
      </c>
      <c r="I375" s="37" t="s">
        <v>148</v>
      </c>
      <c r="J375" s="44">
        <v>7112829</v>
      </c>
      <c r="K375" s="44">
        <v>853539422</v>
      </c>
    </row>
    <row r="376" spans="1:11" ht="25.5" customHeight="1" x14ac:dyDescent="0.4">
      <c r="A376" s="45" t="s">
        <v>154</v>
      </c>
      <c r="B376" s="37">
        <v>161</v>
      </c>
      <c r="C376" s="38">
        <v>5798</v>
      </c>
      <c r="D376" s="38">
        <v>933478</v>
      </c>
      <c r="E376" s="38">
        <v>1434889</v>
      </c>
      <c r="F376" s="37">
        <v>7.3</v>
      </c>
      <c r="G376" s="37">
        <v>8.3000000000000007</v>
      </c>
      <c r="H376" s="37">
        <v>9.4</v>
      </c>
      <c r="I376" s="37" t="s">
        <v>147</v>
      </c>
      <c r="J376" s="44">
        <v>9051504</v>
      </c>
      <c r="K376" s="44">
        <v>1086180505</v>
      </c>
    </row>
    <row r="377" spans="1:11" ht="25.5" customHeight="1" x14ac:dyDescent="0.45">
      <c r="A377" s="45" t="s">
        <v>155</v>
      </c>
      <c r="B377" s="39">
        <v>125</v>
      </c>
      <c r="C377" s="40">
        <v>7100</v>
      </c>
      <c r="D377" s="41">
        <v>10914</v>
      </c>
      <c r="E377" s="42">
        <v>1364214.29</v>
      </c>
      <c r="F377" s="39">
        <v>6</v>
      </c>
      <c r="G377" s="39">
        <v>7.8</v>
      </c>
      <c r="H377" s="39">
        <v>9.1999999999999993</v>
      </c>
      <c r="I377" s="43">
        <v>10.5</v>
      </c>
      <c r="J377" s="29">
        <v>8699319.5670995675</v>
      </c>
      <c r="K377" s="29">
        <v>1152287731.9480522</v>
      </c>
    </row>
    <row r="382" spans="1:11" ht="31" x14ac:dyDescent="0.35">
      <c r="A382" s="48" t="s">
        <v>135</v>
      </c>
      <c r="B382" s="48" t="s">
        <v>156</v>
      </c>
      <c r="C382" s="48" t="s">
        <v>157</v>
      </c>
      <c r="D382" s="48" t="s">
        <v>138</v>
      </c>
      <c r="E382" s="48" t="s">
        <v>139</v>
      </c>
      <c r="F382" s="48" t="s">
        <v>140</v>
      </c>
      <c r="G382" s="48" t="s">
        <v>141</v>
      </c>
      <c r="H382" s="48" t="s">
        <v>142</v>
      </c>
      <c r="I382" s="48" t="s">
        <v>158</v>
      </c>
      <c r="J382" s="48" t="s">
        <v>144</v>
      </c>
      <c r="K382" s="48" t="s">
        <v>145</v>
      </c>
    </row>
    <row r="383" spans="1:11" ht="15.5" x14ac:dyDescent="0.35">
      <c r="A383" s="49" t="s">
        <v>149</v>
      </c>
      <c r="B383" s="49">
        <v>120</v>
      </c>
      <c r="C383" s="50">
        <v>5300</v>
      </c>
      <c r="D383" s="50">
        <v>662500</v>
      </c>
      <c r="E383" s="50">
        <v>968400</v>
      </c>
      <c r="F383" s="48">
        <v>3.8</v>
      </c>
      <c r="G383" s="48">
        <v>8.1999999999999993</v>
      </c>
      <c r="H383" s="48">
        <v>10.8</v>
      </c>
      <c r="I383" s="48">
        <v>127</v>
      </c>
      <c r="J383" s="50">
        <v>6362484</v>
      </c>
      <c r="K383" s="50">
        <v>763498000</v>
      </c>
    </row>
    <row r="384" spans="1:11" ht="15.5" x14ac:dyDescent="0.35">
      <c r="A384" s="49" t="s">
        <v>151</v>
      </c>
      <c r="B384" s="49">
        <v>112</v>
      </c>
      <c r="C384" s="50">
        <v>5100</v>
      </c>
      <c r="D384" s="50">
        <v>571200</v>
      </c>
      <c r="E384" s="50">
        <v>877968</v>
      </c>
      <c r="F384" s="48">
        <v>3.5</v>
      </c>
      <c r="G384" s="48">
        <v>7.8</v>
      </c>
      <c r="H384" s="48">
        <v>9.6</v>
      </c>
      <c r="I384" s="48">
        <v>110</v>
      </c>
      <c r="J384" s="50">
        <v>5445382</v>
      </c>
      <c r="K384" s="50">
        <v>653445806</v>
      </c>
    </row>
    <row r="385" spans="1:13" ht="15.5" x14ac:dyDescent="0.35">
      <c r="A385" s="51" t="s">
        <v>159</v>
      </c>
      <c r="B385" s="56">
        <v>131</v>
      </c>
      <c r="C385" s="58">
        <v>5143</v>
      </c>
      <c r="D385" s="58">
        <v>674257</v>
      </c>
      <c r="E385" s="58">
        <v>1036429</v>
      </c>
      <c r="F385" s="56">
        <v>6.5</v>
      </c>
      <c r="G385" s="56">
        <v>8.5</v>
      </c>
      <c r="H385" s="56">
        <v>9.6999999999999993</v>
      </c>
      <c r="I385" s="56">
        <v>115</v>
      </c>
      <c r="J385" s="58">
        <v>7112829</v>
      </c>
      <c r="K385" s="58">
        <v>853539422</v>
      </c>
    </row>
    <row r="386" spans="1:13" ht="30" x14ac:dyDescent="0.4">
      <c r="A386" s="52" t="s">
        <v>131</v>
      </c>
      <c r="B386" s="57"/>
      <c r="C386" s="59"/>
      <c r="D386" s="59"/>
      <c r="E386" s="59"/>
      <c r="F386" s="57"/>
      <c r="G386" s="57"/>
      <c r="H386" s="57"/>
      <c r="I386" s="57"/>
      <c r="J386" s="59"/>
      <c r="K386" s="59"/>
    </row>
    <row r="387" spans="1:13" ht="15.5" x14ac:dyDescent="0.35">
      <c r="A387" s="51" t="s">
        <v>160</v>
      </c>
      <c r="B387" s="56">
        <v>161</v>
      </c>
      <c r="C387" s="58">
        <v>5798</v>
      </c>
      <c r="D387" s="58">
        <v>933478</v>
      </c>
      <c r="E387" s="58">
        <v>1434889</v>
      </c>
      <c r="F387" s="56">
        <v>7.3</v>
      </c>
      <c r="G387" s="56">
        <v>8.3000000000000007</v>
      </c>
      <c r="H387" s="56">
        <v>9.4</v>
      </c>
      <c r="I387" s="56">
        <v>118</v>
      </c>
      <c r="J387" s="58">
        <v>9051504</v>
      </c>
      <c r="K387" s="58">
        <v>1086180505</v>
      </c>
    </row>
    <row r="388" spans="1:13" ht="14.5" customHeight="1" x14ac:dyDescent="0.35">
      <c r="A388" s="53" t="s">
        <v>161</v>
      </c>
      <c r="B388" s="57"/>
      <c r="C388" s="59"/>
      <c r="D388" s="59"/>
      <c r="E388" s="59"/>
      <c r="F388" s="57"/>
      <c r="G388" s="57"/>
      <c r="H388" s="57"/>
      <c r="I388" s="57"/>
      <c r="J388" s="59"/>
      <c r="K388" s="59"/>
    </row>
    <row r="389" spans="1:13" ht="15.5" x14ac:dyDescent="0.35">
      <c r="A389" s="51" t="s">
        <v>162</v>
      </c>
      <c r="B389" s="56">
        <v>125</v>
      </c>
      <c r="C389" s="60">
        <v>7100</v>
      </c>
      <c r="D389" s="60">
        <v>887500</v>
      </c>
      <c r="E389" s="60">
        <v>1364214</v>
      </c>
      <c r="F389" s="56">
        <v>6</v>
      </c>
      <c r="G389" s="56">
        <v>7.8</v>
      </c>
      <c r="H389" s="56">
        <v>9.1999999999999993</v>
      </c>
      <c r="I389" s="56">
        <v>126</v>
      </c>
      <c r="J389" s="60">
        <v>8699320</v>
      </c>
      <c r="K389" s="60">
        <v>1152287732</v>
      </c>
    </row>
    <row r="390" spans="1:13" ht="14.5" customHeight="1" x14ac:dyDescent="0.35">
      <c r="A390" s="54" t="s">
        <v>163</v>
      </c>
      <c r="B390" s="57"/>
      <c r="C390" s="61"/>
      <c r="D390" s="61"/>
      <c r="E390" s="61"/>
      <c r="F390" s="57"/>
      <c r="G390" s="57"/>
      <c r="H390" s="57"/>
      <c r="I390" s="57"/>
      <c r="J390" s="61"/>
      <c r="K390" s="61"/>
    </row>
    <row r="393" spans="1:13" ht="15.5" x14ac:dyDescent="0.35">
      <c r="C393" s="49">
        <v>120</v>
      </c>
      <c r="D393" s="50">
        <v>5300</v>
      </c>
      <c r="E393" s="1">
        <v>8070</v>
      </c>
      <c r="F393" s="50">
        <v>662500</v>
      </c>
      <c r="G393" s="50">
        <v>968400</v>
      </c>
      <c r="H393" s="48">
        <v>3.8</v>
      </c>
      <c r="I393" s="48">
        <v>8.1999999999999993</v>
      </c>
      <c r="J393" s="48">
        <v>10.8</v>
      </c>
      <c r="K393" s="48">
        <v>127</v>
      </c>
      <c r="L393" s="50">
        <v>6362484</v>
      </c>
      <c r="M393" s="50">
        <v>763498000</v>
      </c>
    </row>
    <row r="394" spans="1:13" ht="15.5" x14ac:dyDescent="0.35">
      <c r="C394" s="49">
        <v>112</v>
      </c>
      <c r="D394" s="50">
        <v>5100</v>
      </c>
      <c r="E394" s="1">
        <v>7839</v>
      </c>
      <c r="F394" s="50">
        <v>571200</v>
      </c>
      <c r="G394" s="50">
        <v>877968</v>
      </c>
      <c r="H394" s="48">
        <v>3.5</v>
      </c>
      <c r="I394" s="48">
        <v>7.8</v>
      </c>
      <c r="J394" s="48">
        <v>9.6</v>
      </c>
      <c r="K394" s="48">
        <v>110</v>
      </c>
      <c r="L394" s="50">
        <v>5445382</v>
      </c>
      <c r="M394" s="50">
        <v>653445806</v>
      </c>
    </row>
    <row r="395" spans="1:13" ht="15.5" x14ac:dyDescent="0.35">
      <c r="C395" s="48">
        <v>131</v>
      </c>
      <c r="D395" s="50">
        <v>5143</v>
      </c>
      <c r="E395" s="1">
        <v>7912</v>
      </c>
      <c r="F395" s="50">
        <v>674257</v>
      </c>
      <c r="G395" s="50">
        <v>1036429</v>
      </c>
      <c r="H395" s="48">
        <v>6.5</v>
      </c>
      <c r="I395" s="48">
        <v>8.5</v>
      </c>
      <c r="J395" s="48">
        <v>9.6999999999999993</v>
      </c>
      <c r="K395" s="48">
        <v>115</v>
      </c>
      <c r="L395" s="50">
        <v>7112829</v>
      </c>
      <c r="M395" s="50">
        <v>853539422</v>
      </c>
    </row>
    <row r="396" spans="1:13" ht="15.5" x14ac:dyDescent="0.35">
      <c r="C396" s="48">
        <v>161</v>
      </c>
      <c r="D396" s="50">
        <v>5798</v>
      </c>
      <c r="E396" s="1">
        <v>8493</v>
      </c>
      <c r="F396" s="50">
        <v>933478</v>
      </c>
      <c r="G396" s="50">
        <v>1434889</v>
      </c>
      <c r="H396" s="48">
        <v>7.3</v>
      </c>
      <c r="I396" s="48">
        <v>8.3000000000000007</v>
      </c>
      <c r="J396" s="48">
        <v>9.4</v>
      </c>
      <c r="K396" s="48">
        <v>118</v>
      </c>
      <c r="L396" s="50">
        <v>9051504</v>
      </c>
      <c r="M396" s="50">
        <v>1086180505</v>
      </c>
    </row>
    <row r="397" spans="1:13" ht="15.5" x14ac:dyDescent="0.35">
      <c r="C397" s="48">
        <v>125</v>
      </c>
      <c r="D397" s="55">
        <v>7100</v>
      </c>
      <c r="E397" s="1">
        <v>10941</v>
      </c>
      <c r="F397" s="55">
        <v>887500</v>
      </c>
      <c r="G397" s="55">
        <v>1364214</v>
      </c>
      <c r="H397" s="48">
        <v>6</v>
      </c>
      <c r="I397" s="48">
        <v>7.8</v>
      </c>
      <c r="J397" s="48">
        <v>9.1999999999999993</v>
      </c>
      <c r="K397" s="48">
        <v>126</v>
      </c>
      <c r="L397" s="55">
        <v>8699320</v>
      </c>
      <c r="M397" s="55">
        <v>1152287732</v>
      </c>
    </row>
  </sheetData>
  <mergeCells count="43">
    <mergeCell ref="I53:N53"/>
    <mergeCell ref="F78:K78"/>
    <mergeCell ref="A138:G138"/>
    <mergeCell ref="A358:A359"/>
    <mergeCell ref="B358:B359"/>
    <mergeCell ref="D358:D359"/>
    <mergeCell ref="E358:E359"/>
    <mergeCell ref="A152:G152"/>
    <mergeCell ref="A277:G277"/>
    <mergeCell ref="A293:G293"/>
    <mergeCell ref="A320:G320"/>
    <mergeCell ref="B385:B386"/>
    <mergeCell ref="C385:C386"/>
    <mergeCell ref="D385:D386"/>
    <mergeCell ref="A1:H1"/>
    <mergeCell ref="A53:F53"/>
    <mergeCell ref="G385:G386"/>
    <mergeCell ref="H385:H386"/>
    <mergeCell ref="I385:I386"/>
    <mergeCell ref="J385:J386"/>
    <mergeCell ref="K385:K386"/>
    <mergeCell ref="I387:I388"/>
    <mergeCell ref="J387:J388"/>
    <mergeCell ref="K387:K388"/>
    <mergeCell ref="B387:B388"/>
    <mergeCell ref="C387:C388"/>
    <mergeCell ref="D387:D388"/>
    <mergeCell ref="B389:B390"/>
    <mergeCell ref="C389:C390"/>
    <mergeCell ref="D389:D390"/>
    <mergeCell ref="G387:G388"/>
    <mergeCell ref="H387:H388"/>
    <mergeCell ref="G389:G390"/>
    <mergeCell ref="H389:H390"/>
    <mergeCell ref="I389:I390"/>
    <mergeCell ref="J389:J390"/>
    <mergeCell ref="K389:K390"/>
    <mergeCell ref="F385:F386"/>
    <mergeCell ref="E385:E386"/>
    <mergeCell ref="F387:F388"/>
    <mergeCell ref="E387:E388"/>
    <mergeCell ref="F389:F390"/>
    <mergeCell ref="E389:E39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2025-10-20T11:40:03Z</dcterms:created>
  <dcterms:modified xsi:type="dcterms:W3CDTF">2025-10-28T21:55:23Z</dcterms:modified>
</cp:coreProperties>
</file>