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Tres Islas\Base de datos\"/>
    </mc:Choice>
  </mc:AlternateContent>
  <xr:revisionPtr revIDLastSave="0" documentId="13_ncr:1_{78B5176D-9550-4A12-85ED-4C35AB37FDD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MOIndirectos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" l="1"/>
  <c r="E52" i="12"/>
  <c r="E54" i="12"/>
  <c r="E53" i="12"/>
  <c r="C13" i="12"/>
  <c r="C12" i="12"/>
  <c r="D13" i="12"/>
  <c r="C29" i="12"/>
  <c r="C28" i="12"/>
  <c r="C10" i="12"/>
  <c r="C6" i="12"/>
  <c r="L2" i="1"/>
  <c r="K2" i="1"/>
  <c r="K3" i="1"/>
  <c r="K2" i="3"/>
  <c r="C31" i="12"/>
  <c r="L2" i="3"/>
  <c r="H28" i="12"/>
  <c r="H31" i="12"/>
  <c r="T2" i="1"/>
  <c r="T4" i="1"/>
  <c r="D22" i="1"/>
  <c r="L22" i="1" s="1"/>
  <c r="J2" i="11"/>
  <c r="J3" i="11"/>
  <c r="N32" i="6"/>
  <c r="D8" i="2"/>
  <c r="E111" i="12"/>
  <c r="E110" i="12"/>
  <c r="E109" i="12"/>
  <c r="E108" i="12"/>
  <c r="E107" i="12"/>
  <c r="L19" i="11" s="1"/>
  <c r="E106" i="12"/>
  <c r="E105" i="12"/>
  <c r="E104" i="12"/>
  <c r="E103" i="12"/>
  <c r="E102" i="12"/>
  <c r="E99" i="12"/>
  <c r="E98" i="12"/>
  <c r="E96" i="12"/>
  <c r="E95" i="12"/>
  <c r="E93" i="12"/>
  <c r="E92" i="12"/>
  <c r="E88" i="12"/>
  <c r="E87" i="12"/>
  <c r="E86" i="12"/>
  <c r="E81" i="12"/>
  <c r="E80" i="12"/>
  <c r="E77" i="12"/>
  <c r="E75" i="12"/>
  <c r="E74" i="12"/>
  <c r="E69" i="12"/>
  <c r="E68" i="12"/>
  <c r="E63" i="12"/>
  <c r="E62" i="12"/>
  <c r="E58" i="12"/>
  <c r="E57" i="12"/>
  <c r="E56" i="12"/>
  <c r="M31" i="12"/>
  <c r="L31" i="12"/>
  <c r="K31" i="12"/>
  <c r="J31" i="12"/>
  <c r="I31" i="12"/>
  <c r="H29" i="12"/>
  <c r="E79" i="12" s="1"/>
  <c r="G31" i="12"/>
  <c r="F31" i="12"/>
  <c r="E31" i="12"/>
  <c r="E28" i="12" s="1"/>
  <c r="E60" i="12" s="1"/>
  <c r="D31" i="12"/>
  <c r="M29" i="12"/>
  <c r="L29" i="12"/>
  <c r="K29" i="12"/>
  <c r="E97" i="12" s="1"/>
  <c r="J29" i="12"/>
  <c r="E91" i="12" s="1"/>
  <c r="I29" i="12"/>
  <c r="E85" i="12" s="1"/>
  <c r="G29" i="12"/>
  <c r="E73" i="12" s="1"/>
  <c r="F29" i="12"/>
  <c r="E67" i="12" s="1"/>
  <c r="E29" i="12"/>
  <c r="E61" i="12" s="1"/>
  <c r="M28" i="12"/>
  <c r="L28" i="12"/>
  <c r="K28" i="12"/>
  <c r="J28" i="12"/>
  <c r="E90" i="12" s="1"/>
  <c r="I28" i="12"/>
  <c r="E84" i="12" s="1"/>
  <c r="G28" i="12"/>
  <c r="E72" i="12" s="1"/>
  <c r="F28" i="12"/>
  <c r="E66" i="12" s="1"/>
  <c r="M13" i="12"/>
  <c r="L13" i="12"/>
  <c r="K13" i="12"/>
  <c r="J13" i="12"/>
  <c r="I13" i="12"/>
  <c r="E83" i="12" s="1"/>
  <c r="H13" i="12"/>
  <c r="G13" i="12"/>
  <c r="F13" i="12"/>
  <c r="E13" i="12"/>
  <c r="M12" i="12"/>
  <c r="L12" i="12"/>
  <c r="K12" i="12"/>
  <c r="J12" i="12"/>
  <c r="I12" i="12"/>
  <c r="E82" i="12" s="1"/>
  <c r="H12" i="12"/>
  <c r="E76" i="12" s="1"/>
  <c r="F12" i="12"/>
  <c r="E12" i="12"/>
  <c r="G11" i="12"/>
  <c r="G12" i="12" s="1"/>
  <c r="M10" i="12"/>
  <c r="L10" i="12"/>
  <c r="E101" i="12" s="1"/>
  <c r="K10" i="12"/>
  <c r="J10" i="12"/>
  <c r="E89" i="12" s="1"/>
  <c r="I10" i="12"/>
  <c r="H10" i="12"/>
  <c r="G10" i="12"/>
  <c r="E71" i="12" s="1"/>
  <c r="F10" i="12"/>
  <c r="E65" i="12" s="1"/>
  <c r="E10" i="12"/>
  <c r="E59" i="12" s="1"/>
  <c r="D10" i="12"/>
  <c r="M6" i="12"/>
  <c r="L6" i="12"/>
  <c r="E100" i="12" s="1"/>
  <c r="K6" i="12"/>
  <c r="E94" i="12" s="1"/>
  <c r="L3" i="10" s="1"/>
  <c r="J6" i="12"/>
  <c r="I6" i="12"/>
  <c r="H6" i="12"/>
  <c r="G6" i="12"/>
  <c r="E70" i="12" s="1"/>
  <c r="F6" i="12"/>
  <c r="E64" i="12" s="1"/>
  <c r="E6" i="12"/>
  <c r="D6" i="12"/>
  <c r="G50" i="11"/>
  <c r="G49" i="11"/>
  <c r="G48" i="11"/>
  <c r="V47" i="11"/>
  <c r="G47" i="11"/>
  <c r="G46" i="11"/>
  <c r="G45" i="11"/>
  <c r="G44" i="11"/>
  <c r="W43" i="11"/>
  <c r="X43" i="11" s="1"/>
  <c r="S43" i="11"/>
  <c r="V42" i="11"/>
  <c r="W42" i="11" s="1"/>
  <c r="V46" i="11" s="1"/>
  <c r="T38" i="11"/>
  <c r="N38" i="11"/>
  <c r="D38" i="11"/>
  <c r="T37" i="11"/>
  <c r="N37" i="11"/>
  <c r="K37" i="11"/>
  <c r="D37" i="11"/>
  <c r="L37" i="11" s="1"/>
  <c r="T36" i="11"/>
  <c r="N36" i="11"/>
  <c r="D36" i="11"/>
  <c r="L36" i="11" s="1"/>
  <c r="T35" i="11"/>
  <c r="N35" i="11"/>
  <c r="D35" i="11"/>
  <c r="T34" i="11"/>
  <c r="N34" i="11"/>
  <c r="V34" i="11" s="1"/>
  <c r="D34" i="11"/>
  <c r="L34" i="11" s="1"/>
  <c r="T33" i="11"/>
  <c r="L33" i="11"/>
  <c r="D33" i="11"/>
  <c r="K33" i="11" s="1"/>
  <c r="M33" i="11" s="1"/>
  <c r="N33" i="11" s="1"/>
  <c r="T32" i="11"/>
  <c r="N32" i="11"/>
  <c r="L32" i="11"/>
  <c r="K32" i="11"/>
  <c r="M32" i="11" s="1"/>
  <c r="D32" i="11"/>
  <c r="T31" i="11"/>
  <c r="N31" i="11"/>
  <c r="D31" i="11"/>
  <c r="T30" i="11"/>
  <c r="N30" i="11"/>
  <c r="S30" i="11" s="1"/>
  <c r="D30" i="11"/>
  <c r="K30" i="11" s="1"/>
  <c r="T29" i="11"/>
  <c r="N29" i="11"/>
  <c r="D29" i="11"/>
  <c r="L29" i="11" s="1"/>
  <c r="T28" i="11"/>
  <c r="N28" i="11"/>
  <c r="L28" i="11"/>
  <c r="K28" i="11"/>
  <c r="M28" i="11" s="1"/>
  <c r="D28" i="11"/>
  <c r="T27" i="11"/>
  <c r="N27" i="11"/>
  <c r="D27" i="11"/>
  <c r="T26" i="11"/>
  <c r="N26" i="11"/>
  <c r="L26" i="11"/>
  <c r="K26" i="11"/>
  <c r="M26" i="11" s="1"/>
  <c r="W26" i="11" s="1"/>
  <c r="D26" i="11"/>
  <c r="T25" i="11"/>
  <c r="N25" i="11"/>
  <c r="D25" i="11"/>
  <c r="T24" i="11"/>
  <c r="N24" i="11"/>
  <c r="D24" i="11"/>
  <c r="T23" i="11"/>
  <c r="N23" i="11"/>
  <c r="S23" i="11" s="1"/>
  <c r="L23" i="11"/>
  <c r="K23" i="11"/>
  <c r="M23" i="11" s="1"/>
  <c r="D23" i="11"/>
  <c r="T22" i="11"/>
  <c r="N22" i="11"/>
  <c r="D22" i="11"/>
  <c r="K22" i="11" s="1"/>
  <c r="T21" i="11"/>
  <c r="L21" i="11"/>
  <c r="K21" i="11"/>
  <c r="M21" i="11" s="1"/>
  <c r="N21" i="11" s="1"/>
  <c r="V21" i="11" s="1"/>
  <c r="D21" i="11"/>
  <c r="T20" i="11"/>
  <c r="D20" i="11"/>
  <c r="T19" i="11"/>
  <c r="K19" i="11"/>
  <c r="D19" i="11"/>
  <c r="T18" i="11"/>
  <c r="L18" i="11"/>
  <c r="K18" i="11"/>
  <c r="M18" i="11" s="1"/>
  <c r="N18" i="11" s="1"/>
  <c r="D18" i="11"/>
  <c r="T17" i="11"/>
  <c r="L17" i="11"/>
  <c r="J17" i="11"/>
  <c r="D17" i="11"/>
  <c r="K17" i="11" s="1"/>
  <c r="M17" i="11" s="1"/>
  <c r="N17" i="11" s="1"/>
  <c r="T16" i="11"/>
  <c r="L16" i="11"/>
  <c r="K16" i="11"/>
  <c r="D16" i="11"/>
  <c r="T15" i="11"/>
  <c r="D15" i="11"/>
  <c r="L15" i="11" s="1"/>
  <c r="T14" i="11"/>
  <c r="D14" i="11"/>
  <c r="T13" i="11"/>
  <c r="D13" i="11"/>
  <c r="K13" i="11" s="1"/>
  <c r="T12" i="11"/>
  <c r="L12" i="11"/>
  <c r="K12" i="11"/>
  <c r="M12" i="11" s="1"/>
  <c r="N12" i="11" s="1"/>
  <c r="D12" i="11"/>
  <c r="T11" i="11"/>
  <c r="D11" i="11"/>
  <c r="K11" i="11" s="1"/>
  <c r="T10" i="11"/>
  <c r="L10" i="11"/>
  <c r="K10" i="11"/>
  <c r="M10" i="11" s="1"/>
  <c r="N10" i="11" s="1"/>
  <c r="D10" i="11"/>
  <c r="T9" i="11"/>
  <c r="D9" i="11"/>
  <c r="L9" i="11" s="1"/>
  <c r="T8" i="11"/>
  <c r="D8" i="11"/>
  <c r="L8" i="11" s="1"/>
  <c r="T7" i="11"/>
  <c r="K7" i="11"/>
  <c r="J7" i="11"/>
  <c r="D7" i="11"/>
  <c r="L7" i="11" s="1"/>
  <c r="T6" i="11"/>
  <c r="D6" i="11"/>
  <c r="K6" i="11" s="1"/>
  <c r="T5" i="11"/>
  <c r="L5" i="11"/>
  <c r="K5" i="11"/>
  <c r="J5" i="11"/>
  <c r="D5" i="11"/>
  <c r="T4" i="11"/>
  <c r="L4" i="11"/>
  <c r="D4" i="11"/>
  <c r="K4" i="11" s="1"/>
  <c r="M4" i="11" s="1"/>
  <c r="N4" i="11" s="1"/>
  <c r="T3" i="11"/>
  <c r="L3" i="11"/>
  <c r="K3" i="11"/>
  <c r="D3" i="11"/>
  <c r="T2" i="11"/>
  <c r="D2" i="11"/>
  <c r="G50" i="10"/>
  <c r="G49" i="10"/>
  <c r="G48" i="10"/>
  <c r="G47" i="10"/>
  <c r="G46" i="10"/>
  <c r="W45" i="10"/>
  <c r="V48" i="10" s="1"/>
  <c r="W44" i="10"/>
  <c r="V44" i="10"/>
  <c r="T40" i="10"/>
  <c r="N40" i="10"/>
  <c r="L40" i="10"/>
  <c r="D40" i="10"/>
  <c r="K40" i="10" s="1"/>
  <c r="T39" i="10"/>
  <c r="N39" i="10"/>
  <c r="L39" i="10"/>
  <c r="K39" i="10"/>
  <c r="M39" i="10" s="1"/>
  <c r="D39" i="10"/>
  <c r="T38" i="10"/>
  <c r="N38" i="10"/>
  <c r="D38" i="10"/>
  <c r="T37" i="10"/>
  <c r="L37" i="10"/>
  <c r="D37" i="10"/>
  <c r="K37" i="10" s="1"/>
  <c r="T36" i="10"/>
  <c r="K36" i="10"/>
  <c r="D36" i="10"/>
  <c r="L36" i="10" s="1"/>
  <c r="T35" i="10"/>
  <c r="J35" i="10"/>
  <c r="D35" i="10"/>
  <c r="K35" i="10" s="1"/>
  <c r="T34" i="10"/>
  <c r="D34" i="10"/>
  <c r="K34" i="10" s="1"/>
  <c r="T33" i="10"/>
  <c r="D33" i="10"/>
  <c r="L33" i="10" s="1"/>
  <c r="T32" i="10"/>
  <c r="L32" i="10"/>
  <c r="K32" i="10"/>
  <c r="D32" i="10"/>
  <c r="T31" i="10"/>
  <c r="D31" i="10"/>
  <c r="L31" i="10" s="1"/>
  <c r="T30" i="10"/>
  <c r="K30" i="10"/>
  <c r="D30" i="10"/>
  <c r="L30" i="10" s="1"/>
  <c r="T29" i="10"/>
  <c r="D29" i="10"/>
  <c r="T28" i="10"/>
  <c r="L28" i="10"/>
  <c r="K28" i="10"/>
  <c r="D28" i="10"/>
  <c r="T27" i="10"/>
  <c r="L27" i="10"/>
  <c r="K27" i="10"/>
  <c r="M27" i="10" s="1"/>
  <c r="N27" i="10" s="1"/>
  <c r="D27" i="10"/>
  <c r="T26" i="10"/>
  <c r="K26" i="10"/>
  <c r="D26" i="10"/>
  <c r="L26" i="10" s="1"/>
  <c r="T25" i="10"/>
  <c r="J25" i="10"/>
  <c r="D25" i="10"/>
  <c r="T24" i="10"/>
  <c r="D24" i="10"/>
  <c r="K24" i="10" s="1"/>
  <c r="T23" i="10"/>
  <c r="L23" i="10"/>
  <c r="K23" i="10"/>
  <c r="J23" i="10"/>
  <c r="D23" i="10"/>
  <c r="T22" i="10"/>
  <c r="D22" i="10"/>
  <c r="T21" i="10"/>
  <c r="L21" i="10"/>
  <c r="D21" i="10"/>
  <c r="K21" i="10" s="1"/>
  <c r="M21" i="10" s="1"/>
  <c r="N21" i="10" s="1"/>
  <c r="T20" i="10"/>
  <c r="L20" i="10"/>
  <c r="K20" i="10"/>
  <c r="J20" i="10"/>
  <c r="D20" i="10"/>
  <c r="T19" i="10"/>
  <c r="D19" i="10"/>
  <c r="L19" i="10" s="1"/>
  <c r="T18" i="10"/>
  <c r="L18" i="10"/>
  <c r="K18" i="10"/>
  <c r="D18" i="10"/>
  <c r="T17" i="10"/>
  <c r="J17" i="10"/>
  <c r="D17" i="10"/>
  <c r="L17" i="10" s="1"/>
  <c r="T16" i="10"/>
  <c r="D16" i="10"/>
  <c r="L16" i="10" s="1"/>
  <c r="T15" i="10"/>
  <c r="D15" i="10"/>
  <c r="T14" i="10"/>
  <c r="L14" i="10"/>
  <c r="K14" i="10"/>
  <c r="M14" i="10" s="1"/>
  <c r="N14" i="10" s="1"/>
  <c r="D14" i="10"/>
  <c r="T13" i="10"/>
  <c r="L13" i="10"/>
  <c r="K13" i="10"/>
  <c r="D13" i="10"/>
  <c r="T12" i="10"/>
  <c r="L12" i="10"/>
  <c r="D12" i="10"/>
  <c r="K12" i="10" s="1"/>
  <c r="M12" i="10" s="1"/>
  <c r="N12" i="10" s="1"/>
  <c r="T11" i="10"/>
  <c r="D11" i="10"/>
  <c r="T10" i="10"/>
  <c r="D10" i="10"/>
  <c r="K10" i="10" s="1"/>
  <c r="T9" i="10"/>
  <c r="D9" i="10"/>
  <c r="L9" i="10" s="1"/>
  <c r="T8" i="10"/>
  <c r="L8" i="10"/>
  <c r="K8" i="10"/>
  <c r="M8" i="10" s="1"/>
  <c r="N8" i="10" s="1"/>
  <c r="D8" i="10"/>
  <c r="T7" i="10"/>
  <c r="K7" i="10"/>
  <c r="J7" i="10"/>
  <c r="D7" i="10"/>
  <c r="L7" i="10" s="1"/>
  <c r="T6" i="10"/>
  <c r="D6" i="10"/>
  <c r="L6" i="10" s="1"/>
  <c r="T5" i="10"/>
  <c r="D5" i="10"/>
  <c r="L5" i="10" s="1"/>
  <c r="T4" i="10"/>
  <c r="D4" i="10"/>
  <c r="T3" i="10"/>
  <c r="K3" i="10"/>
  <c r="D3" i="10"/>
  <c r="T2" i="10"/>
  <c r="D2" i="10"/>
  <c r="G48" i="9"/>
  <c r="G47" i="9"/>
  <c r="V46" i="9"/>
  <c r="G46" i="9"/>
  <c r="G45" i="9"/>
  <c r="G44" i="9"/>
  <c r="W43" i="9"/>
  <c r="X43" i="9" s="1"/>
  <c r="S43" i="9"/>
  <c r="V42" i="9"/>
  <c r="W42" i="9" s="1"/>
  <c r="V45" i="9" s="1"/>
  <c r="V47" i="9" s="1"/>
  <c r="S42" i="9"/>
  <c r="T38" i="9"/>
  <c r="N38" i="9"/>
  <c r="L38" i="9"/>
  <c r="D38" i="9"/>
  <c r="K38" i="9" s="1"/>
  <c r="M38" i="9" s="1"/>
  <c r="T37" i="9"/>
  <c r="N37" i="9"/>
  <c r="K37" i="9"/>
  <c r="D37" i="9"/>
  <c r="L37" i="9" s="1"/>
  <c r="T36" i="9"/>
  <c r="N36" i="9"/>
  <c r="K36" i="9"/>
  <c r="D36" i="9"/>
  <c r="L36" i="9" s="1"/>
  <c r="T35" i="9"/>
  <c r="N35" i="9"/>
  <c r="D35" i="9"/>
  <c r="L35" i="9" s="1"/>
  <c r="T34" i="9"/>
  <c r="N34" i="9"/>
  <c r="K34" i="9"/>
  <c r="D34" i="9"/>
  <c r="L34" i="9" s="1"/>
  <c r="T33" i="9"/>
  <c r="N33" i="9"/>
  <c r="S33" i="9" s="1"/>
  <c r="D33" i="9"/>
  <c r="T32" i="9"/>
  <c r="J32" i="9"/>
  <c r="D32" i="9"/>
  <c r="T31" i="9"/>
  <c r="L31" i="9"/>
  <c r="K31" i="9"/>
  <c r="M31" i="9" s="1"/>
  <c r="N31" i="9" s="1"/>
  <c r="D31" i="9"/>
  <c r="T30" i="9"/>
  <c r="K30" i="9"/>
  <c r="D30" i="9"/>
  <c r="L30" i="9" s="1"/>
  <c r="T29" i="9"/>
  <c r="L29" i="9"/>
  <c r="J29" i="9"/>
  <c r="D29" i="9"/>
  <c r="K29" i="9" s="1"/>
  <c r="M29" i="9" s="1"/>
  <c r="N29" i="9" s="1"/>
  <c r="T28" i="9"/>
  <c r="D28" i="9"/>
  <c r="L28" i="9" s="1"/>
  <c r="O27" i="9"/>
  <c r="T27" i="9" s="1"/>
  <c r="D27" i="9"/>
  <c r="T26" i="9"/>
  <c r="L26" i="9"/>
  <c r="K26" i="9"/>
  <c r="M26" i="9" s="1"/>
  <c r="N26" i="9" s="1"/>
  <c r="J26" i="9"/>
  <c r="D26" i="9"/>
  <c r="T25" i="9"/>
  <c r="K25" i="9"/>
  <c r="D25" i="9"/>
  <c r="L25" i="9" s="1"/>
  <c r="T24" i="9"/>
  <c r="D24" i="9"/>
  <c r="K24" i="9" s="1"/>
  <c r="T23" i="9"/>
  <c r="L23" i="9"/>
  <c r="K23" i="9"/>
  <c r="M23" i="9" s="1"/>
  <c r="N23" i="9" s="1"/>
  <c r="D23" i="9"/>
  <c r="T22" i="9"/>
  <c r="O22" i="9"/>
  <c r="D22" i="9"/>
  <c r="L22" i="9" s="1"/>
  <c r="T21" i="9"/>
  <c r="L21" i="9"/>
  <c r="K21" i="9"/>
  <c r="D21" i="9"/>
  <c r="T20" i="9"/>
  <c r="D20" i="9"/>
  <c r="L20" i="9" s="1"/>
  <c r="T19" i="9"/>
  <c r="P19" i="9"/>
  <c r="L19" i="9"/>
  <c r="D19" i="9"/>
  <c r="K19" i="9" s="1"/>
  <c r="O18" i="9"/>
  <c r="T18" i="9" s="1"/>
  <c r="L18" i="9"/>
  <c r="K18" i="9"/>
  <c r="D18" i="9"/>
  <c r="T17" i="9"/>
  <c r="K17" i="9"/>
  <c r="D17" i="9"/>
  <c r="L17" i="9" s="1"/>
  <c r="T16" i="9"/>
  <c r="Q16" i="9"/>
  <c r="P16" i="9"/>
  <c r="J16" i="9"/>
  <c r="D16" i="9"/>
  <c r="T15" i="9"/>
  <c r="P15" i="9"/>
  <c r="O15" i="9"/>
  <c r="L15" i="9"/>
  <c r="K15" i="9"/>
  <c r="M15" i="9" s="1"/>
  <c r="N15" i="9" s="1"/>
  <c r="V15" i="9" s="1"/>
  <c r="D15" i="9"/>
  <c r="Q14" i="9"/>
  <c r="P14" i="9"/>
  <c r="O14" i="9"/>
  <c r="T14" i="9" s="1"/>
  <c r="K14" i="9"/>
  <c r="D14" i="9"/>
  <c r="L14" i="9" s="1"/>
  <c r="T13" i="9"/>
  <c r="L13" i="9"/>
  <c r="D13" i="9"/>
  <c r="K13" i="9" s="1"/>
  <c r="T12" i="9"/>
  <c r="D12" i="9"/>
  <c r="L12" i="9" s="1"/>
  <c r="T11" i="9"/>
  <c r="P11" i="9"/>
  <c r="O11" i="9"/>
  <c r="L11" i="9"/>
  <c r="K11" i="9"/>
  <c r="D11" i="9"/>
  <c r="R10" i="9"/>
  <c r="O10" i="9"/>
  <c r="T10" i="9" s="1"/>
  <c r="L10" i="9"/>
  <c r="K10" i="9"/>
  <c r="M10" i="9" s="1"/>
  <c r="N10" i="9" s="1"/>
  <c r="X10" i="9" s="1"/>
  <c r="D10" i="9"/>
  <c r="O9" i="9"/>
  <c r="T9" i="9" s="1"/>
  <c r="D9" i="9"/>
  <c r="L9" i="9" s="1"/>
  <c r="T8" i="9"/>
  <c r="L8" i="9"/>
  <c r="K8" i="9"/>
  <c r="M8" i="9" s="1"/>
  <c r="N8" i="9" s="1"/>
  <c r="D8" i="9"/>
  <c r="T7" i="9"/>
  <c r="D7" i="9"/>
  <c r="K7" i="9" s="1"/>
  <c r="R6" i="9"/>
  <c r="P6" i="9"/>
  <c r="O6" i="9"/>
  <c r="L6" i="9"/>
  <c r="K6" i="9"/>
  <c r="M6" i="9" s="1"/>
  <c r="N6" i="9" s="1"/>
  <c r="X6" i="9" s="1"/>
  <c r="D6" i="9"/>
  <c r="T5" i="9"/>
  <c r="L5" i="9"/>
  <c r="K5" i="9"/>
  <c r="M5" i="9" s="1"/>
  <c r="N5" i="9" s="1"/>
  <c r="D5" i="9"/>
  <c r="T4" i="9"/>
  <c r="L4" i="9"/>
  <c r="K4" i="9"/>
  <c r="M4" i="9" s="1"/>
  <c r="N4" i="9" s="1"/>
  <c r="D4" i="9"/>
  <c r="T3" i="9"/>
  <c r="D3" i="9"/>
  <c r="T2" i="9"/>
  <c r="D2" i="9"/>
  <c r="G48" i="8"/>
  <c r="G47" i="8"/>
  <c r="V46" i="8"/>
  <c r="R46" i="8"/>
  <c r="G46" i="8"/>
  <c r="R45" i="8"/>
  <c r="G45" i="8" s="1"/>
  <c r="S44" i="8"/>
  <c r="S45" i="8" s="1"/>
  <c r="G44" i="8"/>
  <c r="X43" i="8"/>
  <c r="W43" i="8"/>
  <c r="S43" i="8"/>
  <c r="W42" i="8"/>
  <c r="V45" i="8" s="1"/>
  <c r="V42" i="8"/>
  <c r="S42" i="8"/>
  <c r="T38" i="8"/>
  <c r="N38" i="8"/>
  <c r="K38" i="8"/>
  <c r="D38" i="8"/>
  <c r="L38" i="8" s="1"/>
  <c r="T37" i="8"/>
  <c r="N37" i="8"/>
  <c r="L37" i="8"/>
  <c r="D37" i="8"/>
  <c r="K37" i="8" s="1"/>
  <c r="M37" i="8" s="1"/>
  <c r="T36" i="8"/>
  <c r="N36" i="8"/>
  <c r="S36" i="8" s="1"/>
  <c r="L36" i="8"/>
  <c r="K36" i="8"/>
  <c r="M36" i="8" s="1"/>
  <c r="D36" i="8"/>
  <c r="T35" i="8"/>
  <c r="N35" i="8"/>
  <c r="K35" i="8"/>
  <c r="D35" i="8"/>
  <c r="L35" i="8" s="1"/>
  <c r="T34" i="8"/>
  <c r="N34" i="8"/>
  <c r="V34" i="8" s="1"/>
  <c r="K34" i="8"/>
  <c r="D34" i="8"/>
  <c r="L34" i="8" s="1"/>
  <c r="T33" i="8"/>
  <c r="D33" i="8"/>
  <c r="K33" i="8" s="1"/>
  <c r="T32" i="8"/>
  <c r="L32" i="8"/>
  <c r="K32" i="8"/>
  <c r="M32" i="8" s="1"/>
  <c r="N32" i="8" s="1"/>
  <c r="V32" i="8" s="1"/>
  <c r="D32" i="8"/>
  <c r="T31" i="8"/>
  <c r="L31" i="8"/>
  <c r="K31" i="8"/>
  <c r="M31" i="8" s="1"/>
  <c r="N31" i="8" s="1"/>
  <c r="J31" i="8"/>
  <c r="D31" i="8"/>
  <c r="T30" i="8"/>
  <c r="L30" i="8"/>
  <c r="K30" i="8"/>
  <c r="M30" i="8" s="1"/>
  <c r="N30" i="8" s="1"/>
  <c r="D30" i="8"/>
  <c r="T29" i="8"/>
  <c r="K29" i="8"/>
  <c r="D29" i="8"/>
  <c r="L29" i="8" s="1"/>
  <c r="T28" i="8"/>
  <c r="L28" i="8"/>
  <c r="K28" i="8"/>
  <c r="D28" i="8"/>
  <c r="T27" i="8"/>
  <c r="L27" i="8"/>
  <c r="D27" i="8"/>
  <c r="K27" i="8" s="1"/>
  <c r="M27" i="8" s="1"/>
  <c r="N27" i="8" s="1"/>
  <c r="V27" i="8" s="1"/>
  <c r="T26" i="8"/>
  <c r="K26" i="8"/>
  <c r="D26" i="8"/>
  <c r="L26" i="8" s="1"/>
  <c r="T25" i="8"/>
  <c r="R25" i="8"/>
  <c r="O25" i="8"/>
  <c r="D25" i="8"/>
  <c r="O24" i="8"/>
  <c r="T24" i="8" s="1"/>
  <c r="L24" i="8"/>
  <c r="K24" i="8"/>
  <c r="D24" i="8"/>
  <c r="T23" i="8"/>
  <c r="L23" i="8"/>
  <c r="D23" i="8"/>
  <c r="K23" i="8" s="1"/>
  <c r="M23" i="8" s="1"/>
  <c r="N23" i="8" s="1"/>
  <c r="T22" i="8"/>
  <c r="R22" i="8"/>
  <c r="D22" i="8"/>
  <c r="T21" i="8"/>
  <c r="R21" i="8"/>
  <c r="D21" i="8"/>
  <c r="T20" i="8"/>
  <c r="R20" i="8"/>
  <c r="O20" i="8"/>
  <c r="D20" i="8"/>
  <c r="O19" i="8"/>
  <c r="T19" i="8" s="1"/>
  <c r="L19" i="8"/>
  <c r="D19" i="8"/>
  <c r="K19" i="8" s="1"/>
  <c r="M19" i="8" s="1"/>
  <c r="N19" i="8" s="1"/>
  <c r="T18" i="8"/>
  <c r="Q18" i="8"/>
  <c r="P18" i="8"/>
  <c r="O18" i="8"/>
  <c r="K18" i="8"/>
  <c r="D18" i="8"/>
  <c r="L18" i="8" s="1"/>
  <c r="T17" i="8"/>
  <c r="R17" i="8"/>
  <c r="P17" i="8"/>
  <c r="O17" i="8"/>
  <c r="L17" i="8"/>
  <c r="K17" i="8"/>
  <c r="M17" i="8" s="1"/>
  <c r="N17" i="8" s="1"/>
  <c r="D17" i="8"/>
  <c r="P16" i="8"/>
  <c r="T16" i="8" s="1"/>
  <c r="O16" i="8"/>
  <c r="L16" i="8"/>
  <c r="D16" i="8"/>
  <c r="K16" i="8" s="1"/>
  <c r="M16" i="8" s="1"/>
  <c r="N16" i="8" s="1"/>
  <c r="T15" i="8"/>
  <c r="P15" i="8"/>
  <c r="O15" i="8"/>
  <c r="D15" i="8"/>
  <c r="L15" i="8" s="1"/>
  <c r="T14" i="8"/>
  <c r="L14" i="8"/>
  <c r="K14" i="8"/>
  <c r="M14" i="8" s="1"/>
  <c r="N14" i="8" s="1"/>
  <c r="D14" i="8"/>
  <c r="T13" i="8"/>
  <c r="D13" i="8"/>
  <c r="K13" i="8" s="1"/>
  <c r="T12" i="8"/>
  <c r="O12" i="8"/>
  <c r="K12" i="8"/>
  <c r="D12" i="8"/>
  <c r="L12" i="8" s="1"/>
  <c r="P11" i="8"/>
  <c r="T11" i="8" s="1"/>
  <c r="O11" i="8"/>
  <c r="K11" i="8"/>
  <c r="D11" i="8"/>
  <c r="L11" i="8" s="1"/>
  <c r="T10" i="8"/>
  <c r="O10" i="8"/>
  <c r="D10" i="8"/>
  <c r="T9" i="8"/>
  <c r="P9" i="8"/>
  <c r="O9" i="8"/>
  <c r="D9" i="8"/>
  <c r="T8" i="8"/>
  <c r="L8" i="8"/>
  <c r="K8" i="8"/>
  <c r="M8" i="8" s="1"/>
  <c r="N8" i="8" s="1"/>
  <c r="D8" i="8"/>
  <c r="T7" i="8"/>
  <c r="O7" i="8"/>
  <c r="L7" i="8"/>
  <c r="K7" i="8"/>
  <c r="D7" i="8"/>
  <c r="T6" i="8"/>
  <c r="K6" i="8"/>
  <c r="D6" i="8"/>
  <c r="L6" i="8" s="1"/>
  <c r="T5" i="8"/>
  <c r="R5" i="8"/>
  <c r="D5" i="8"/>
  <c r="T4" i="8"/>
  <c r="K4" i="8"/>
  <c r="D4" i="8"/>
  <c r="L4" i="8" s="1"/>
  <c r="T3" i="8"/>
  <c r="K3" i="8"/>
  <c r="D3" i="8"/>
  <c r="L3" i="8" s="1"/>
  <c r="T2" i="8"/>
  <c r="L2" i="8"/>
  <c r="D2" i="8"/>
  <c r="G48" i="7"/>
  <c r="G47" i="7"/>
  <c r="G46" i="7"/>
  <c r="I45" i="7"/>
  <c r="H45" i="7"/>
  <c r="G45" i="7"/>
  <c r="G44" i="7"/>
  <c r="H44" i="7" s="1"/>
  <c r="W43" i="7"/>
  <c r="W42" i="7"/>
  <c r="S42" i="7" s="1"/>
  <c r="V42" i="7"/>
  <c r="T38" i="7"/>
  <c r="N38" i="7"/>
  <c r="S38" i="7" s="1"/>
  <c r="L38" i="7"/>
  <c r="K38" i="7"/>
  <c r="M38" i="7" s="1"/>
  <c r="D38" i="7"/>
  <c r="T37" i="7"/>
  <c r="N37" i="7"/>
  <c r="V37" i="7" s="1"/>
  <c r="L37" i="7"/>
  <c r="D37" i="7"/>
  <c r="K37" i="7" s="1"/>
  <c r="T36" i="7"/>
  <c r="N36" i="7"/>
  <c r="L36" i="7"/>
  <c r="K36" i="7"/>
  <c r="M36" i="7" s="1"/>
  <c r="D36" i="7"/>
  <c r="T35" i="7"/>
  <c r="N35" i="7"/>
  <c r="L35" i="7"/>
  <c r="K35" i="7"/>
  <c r="M35" i="7" s="1"/>
  <c r="D35" i="7"/>
  <c r="T34" i="7"/>
  <c r="N34" i="7"/>
  <c r="L34" i="7"/>
  <c r="K34" i="7"/>
  <c r="M34" i="7" s="1"/>
  <c r="D34" i="7"/>
  <c r="T33" i="7"/>
  <c r="D33" i="7"/>
  <c r="T32" i="7"/>
  <c r="K32" i="7"/>
  <c r="D32" i="7"/>
  <c r="L32" i="7" s="1"/>
  <c r="T31" i="7"/>
  <c r="D31" i="7"/>
  <c r="T30" i="7"/>
  <c r="L30" i="7"/>
  <c r="K30" i="7"/>
  <c r="D30" i="7"/>
  <c r="T29" i="7"/>
  <c r="K29" i="7"/>
  <c r="D29" i="7"/>
  <c r="L29" i="7" s="1"/>
  <c r="M29" i="7" s="1"/>
  <c r="N29" i="7" s="1"/>
  <c r="T28" i="7"/>
  <c r="D28" i="7"/>
  <c r="T27" i="7"/>
  <c r="K27" i="7"/>
  <c r="D27" i="7"/>
  <c r="L27" i="7" s="1"/>
  <c r="T26" i="7"/>
  <c r="D26" i="7"/>
  <c r="T25" i="7"/>
  <c r="D25" i="7"/>
  <c r="T24" i="7"/>
  <c r="L24" i="7"/>
  <c r="K24" i="7"/>
  <c r="D24" i="7"/>
  <c r="T23" i="7"/>
  <c r="L23" i="7"/>
  <c r="K23" i="7"/>
  <c r="D23" i="7"/>
  <c r="T22" i="7"/>
  <c r="L22" i="7"/>
  <c r="K22" i="7"/>
  <c r="D22" i="7"/>
  <c r="T21" i="7"/>
  <c r="D21" i="7"/>
  <c r="T20" i="7"/>
  <c r="K20" i="7"/>
  <c r="D20" i="7"/>
  <c r="L20" i="7" s="1"/>
  <c r="T19" i="7"/>
  <c r="L19" i="7"/>
  <c r="D19" i="7"/>
  <c r="K19" i="7" s="1"/>
  <c r="M19" i="7" s="1"/>
  <c r="N19" i="7" s="1"/>
  <c r="T18" i="7"/>
  <c r="L18" i="7"/>
  <c r="K18" i="7"/>
  <c r="D18" i="7"/>
  <c r="T17" i="7"/>
  <c r="D17" i="7"/>
  <c r="T16" i="7"/>
  <c r="L16" i="7"/>
  <c r="D16" i="7"/>
  <c r="K16" i="7" s="1"/>
  <c r="M16" i="7" s="1"/>
  <c r="N16" i="7" s="1"/>
  <c r="T15" i="7"/>
  <c r="L15" i="7"/>
  <c r="K15" i="7"/>
  <c r="D15" i="7"/>
  <c r="T14" i="7"/>
  <c r="K14" i="7"/>
  <c r="D14" i="7"/>
  <c r="L14" i="7" s="1"/>
  <c r="M14" i="7" s="1"/>
  <c r="N14" i="7" s="1"/>
  <c r="T13" i="7"/>
  <c r="K13" i="7"/>
  <c r="D13" i="7"/>
  <c r="L13" i="7" s="1"/>
  <c r="T12" i="7"/>
  <c r="D12" i="7"/>
  <c r="L12" i="7" s="1"/>
  <c r="T11" i="7"/>
  <c r="L11" i="7"/>
  <c r="K11" i="7"/>
  <c r="D11" i="7"/>
  <c r="T10" i="7"/>
  <c r="D10" i="7"/>
  <c r="T9" i="7"/>
  <c r="D9" i="7"/>
  <c r="T8" i="7"/>
  <c r="L8" i="7"/>
  <c r="D8" i="7"/>
  <c r="T7" i="7"/>
  <c r="L7" i="7"/>
  <c r="D7" i="7"/>
  <c r="T6" i="7"/>
  <c r="L6" i="7"/>
  <c r="K6" i="7"/>
  <c r="D6" i="7"/>
  <c r="T5" i="7"/>
  <c r="L5" i="7"/>
  <c r="D5" i="7"/>
  <c r="T4" i="7"/>
  <c r="D4" i="7"/>
  <c r="L4" i="7" s="1"/>
  <c r="T3" i="7"/>
  <c r="L3" i="7"/>
  <c r="D3" i="7"/>
  <c r="T2" i="7"/>
  <c r="K2" i="7"/>
  <c r="D2" i="7"/>
  <c r="H48" i="6"/>
  <c r="G48" i="6"/>
  <c r="I47" i="6"/>
  <c r="G47" i="6"/>
  <c r="H47" i="6" s="1"/>
  <c r="G46" i="6"/>
  <c r="H46" i="6" s="1"/>
  <c r="H45" i="6"/>
  <c r="G45" i="6"/>
  <c r="H44" i="6"/>
  <c r="G44" i="6"/>
  <c r="X43" i="6"/>
  <c r="W43" i="6"/>
  <c r="S43" i="6" s="1"/>
  <c r="W42" i="6"/>
  <c r="S42" i="6" s="1"/>
  <c r="S44" i="6" s="1"/>
  <c r="S45" i="6" s="1"/>
  <c r="V42" i="6"/>
  <c r="T38" i="6"/>
  <c r="N38" i="6"/>
  <c r="D38" i="6"/>
  <c r="K38" i="6" s="1"/>
  <c r="T37" i="6"/>
  <c r="N37" i="6"/>
  <c r="D37" i="6"/>
  <c r="L37" i="6" s="1"/>
  <c r="T36" i="6"/>
  <c r="N36" i="6"/>
  <c r="D36" i="6"/>
  <c r="L36" i="6" s="1"/>
  <c r="T35" i="6"/>
  <c r="L35" i="6"/>
  <c r="D35" i="6"/>
  <c r="K35" i="6" s="1"/>
  <c r="M35" i="6" s="1"/>
  <c r="N35" i="6" s="1"/>
  <c r="T34" i="6"/>
  <c r="L34" i="6"/>
  <c r="K34" i="6"/>
  <c r="D34" i="6"/>
  <c r="T33" i="6"/>
  <c r="K33" i="6"/>
  <c r="D33" i="6"/>
  <c r="L33" i="6" s="1"/>
  <c r="T32" i="6"/>
  <c r="K32" i="6"/>
  <c r="D32" i="6"/>
  <c r="L32" i="6" s="1"/>
  <c r="T31" i="6"/>
  <c r="L31" i="6"/>
  <c r="D31" i="6"/>
  <c r="K31" i="6" s="1"/>
  <c r="M31" i="6" s="1"/>
  <c r="N31" i="6" s="1"/>
  <c r="T30" i="6"/>
  <c r="L30" i="6"/>
  <c r="K30" i="6"/>
  <c r="M30" i="6" s="1"/>
  <c r="N30" i="6" s="1"/>
  <c r="D30" i="6"/>
  <c r="T29" i="6"/>
  <c r="L29" i="6"/>
  <c r="D29" i="6"/>
  <c r="K29" i="6" s="1"/>
  <c r="M29" i="6" s="1"/>
  <c r="N29" i="6" s="1"/>
  <c r="T28" i="6"/>
  <c r="L28" i="6"/>
  <c r="D28" i="6"/>
  <c r="K28" i="6" s="1"/>
  <c r="T27" i="6"/>
  <c r="L27" i="6"/>
  <c r="K27" i="6"/>
  <c r="M27" i="6" s="1"/>
  <c r="N27" i="6" s="1"/>
  <c r="V27" i="6" s="1"/>
  <c r="D27" i="6"/>
  <c r="T26" i="6"/>
  <c r="L26" i="6"/>
  <c r="K26" i="6"/>
  <c r="M26" i="6" s="1"/>
  <c r="N26" i="6" s="1"/>
  <c r="V26" i="6" s="1"/>
  <c r="D26" i="6"/>
  <c r="T25" i="6"/>
  <c r="O25" i="6"/>
  <c r="L25" i="6"/>
  <c r="D25" i="6"/>
  <c r="K25" i="6" s="1"/>
  <c r="T24" i="6"/>
  <c r="D24" i="6"/>
  <c r="T23" i="6"/>
  <c r="L23" i="6"/>
  <c r="D23" i="6"/>
  <c r="T22" i="6"/>
  <c r="L22" i="6"/>
  <c r="K22" i="6"/>
  <c r="D22" i="6"/>
  <c r="T21" i="6"/>
  <c r="L21" i="6"/>
  <c r="D21" i="6"/>
  <c r="T20" i="6"/>
  <c r="L20" i="6"/>
  <c r="D20" i="6"/>
  <c r="T19" i="6"/>
  <c r="D19" i="6"/>
  <c r="L19" i="6" s="1"/>
  <c r="T18" i="6"/>
  <c r="L18" i="6"/>
  <c r="D18" i="6"/>
  <c r="K18" i="6" s="1"/>
  <c r="T17" i="6"/>
  <c r="D17" i="6"/>
  <c r="T16" i="6"/>
  <c r="L16" i="6"/>
  <c r="D16" i="6"/>
  <c r="T15" i="6"/>
  <c r="D15" i="6"/>
  <c r="L15" i="6" s="1"/>
  <c r="T14" i="6"/>
  <c r="K14" i="6"/>
  <c r="D14" i="6"/>
  <c r="L14" i="6" s="1"/>
  <c r="T13" i="6"/>
  <c r="D13" i="6"/>
  <c r="T12" i="6"/>
  <c r="L12" i="6"/>
  <c r="D12" i="6"/>
  <c r="T11" i="6"/>
  <c r="D11" i="6"/>
  <c r="T10" i="6"/>
  <c r="L10" i="6"/>
  <c r="K10" i="6"/>
  <c r="D10" i="6"/>
  <c r="T9" i="6"/>
  <c r="L9" i="6"/>
  <c r="K9" i="6"/>
  <c r="M9" i="6" s="1"/>
  <c r="N9" i="6" s="1"/>
  <c r="D9" i="6"/>
  <c r="T8" i="6"/>
  <c r="D8" i="6"/>
  <c r="L8" i="6" s="1"/>
  <c r="T7" i="6"/>
  <c r="K7" i="6"/>
  <c r="D7" i="6"/>
  <c r="L7" i="6" s="1"/>
  <c r="T6" i="6"/>
  <c r="K6" i="6"/>
  <c r="D6" i="6"/>
  <c r="L6" i="6" s="1"/>
  <c r="T5" i="6"/>
  <c r="L5" i="6"/>
  <c r="K5" i="6"/>
  <c r="D5" i="6"/>
  <c r="T4" i="6"/>
  <c r="K4" i="6"/>
  <c r="D4" i="6"/>
  <c r="L4" i="6" s="1"/>
  <c r="T3" i="6"/>
  <c r="D3" i="6"/>
  <c r="T2" i="6"/>
  <c r="L2" i="6"/>
  <c r="K2" i="6"/>
  <c r="D2" i="6"/>
  <c r="G47" i="5"/>
  <c r="G46" i="5"/>
  <c r="H45" i="5"/>
  <c r="G45" i="5"/>
  <c r="G44" i="5"/>
  <c r="H44" i="5" s="1"/>
  <c r="G43" i="5"/>
  <c r="H43" i="5" s="1"/>
  <c r="X42" i="5"/>
  <c r="W42" i="5"/>
  <c r="S42" i="5"/>
  <c r="S43" i="5" s="1"/>
  <c r="S44" i="5" s="1"/>
  <c r="W41" i="5"/>
  <c r="V41" i="5"/>
  <c r="S41" i="5"/>
  <c r="T37" i="5"/>
  <c r="N37" i="5"/>
  <c r="D37" i="5"/>
  <c r="T36" i="5"/>
  <c r="N36" i="5"/>
  <c r="L36" i="5"/>
  <c r="K36" i="5"/>
  <c r="M36" i="5" s="1"/>
  <c r="D36" i="5"/>
  <c r="T35" i="5"/>
  <c r="N35" i="5"/>
  <c r="X35" i="5" s="1"/>
  <c r="L35" i="5"/>
  <c r="K35" i="5"/>
  <c r="M35" i="5" s="1"/>
  <c r="D35" i="5"/>
  <c r="T34" i="5"/>
  <c r="N34" i="5"/>
  <c r="L34" i="5"/>
  <c r="K34" i="5"/>
  <c r="M34" i="5" s="1"/>
  <c r="D34" i="5"/>
  <c r="T33" i="5"/>
  <c r="D33" i="5"/>
  <c r="L33" i="5" s="1"/>
  <c r="T32" i="5"/>
  <c r="D32" i="5"/>
  <c r="L32" i="5" s="1"/>
  <c r="T31" i="5"/>
  <c r="K31" i="5"/>
  <c r="D31" i="5"/>
  <c r="L31" i="5" s="1"/>
  <c r="T30" i="5"/>
  <c r="L30" i="5"/>
  <c r="D30" i="5"/>
  <c r="T29" i="5"/>
  <c r="L29" i="5"/>
  <c r="D29" i="5"/>
  <c r="T28" i="5"/>
  <c r="L28" i="5"/>
  <c r="D28" i="5"/>
  <c r="T27" i="5"/>
  <c r="K27" i="5"/>
  <c r="D27" i="5"/>
  <c r="L27" i="5" s="1"/>
  <c r="T26" i="5"/>
  <c r="D26" i="5"/>
  <c r="L26" i="5" s="1"/>
  <c r="T25" i="5"/>
  <c r="D25" i="5"/>
  <c r="T24" i="5"/>
  <c r="L24" i="5"/>
  <c r="D24" i="5"/>
  <c r="T23" i="5"/>
  <c r="K23" i="5"/>
  <c r="D23" i="5"/>
  <c r="L23" i="5" s="1"/>
  <c r="T22" i="5"/>
  <c r="D22" i="5"/>
  <c r="L22" i="5" s="1"/>
  <c r="T21" i="5"/>
  <c r="D21" i="5"/>
  <c r="O20" i="5"/>
  <c r="T20" i="5" s="1"/>
  <c r="D20" i="5"/>
  <c r="L20" i="5" s="1"/>
  <c r="T19" i="5"/>
  <c r="L19" i="5"/>
  <c r="D19" i="5"/>
  <c r="K19" i="5" s="1"/>
  <c r="M19" i="5" s="1"/>
  <c r="N19" i="5" s="1"/>
  <c r="T18" i="5"/>
  <c r="L18" i="5"/>
  <c r="K18" i="5"/>
  <c r="M18" i="5" s="1"/>
  <c r="N18" i="5" s="1"/>
  <c r="D18" i="5"/>
  <c r="T17" i="5"/>
  <c r="L17" i="5"/>
  <c r="K17" i="5"/>
  <c r="M17" i="5" s="1"/>
  <c r="N17" i="5" s="1"/>
  <c r="D17" i="5"/>
  <c r="T16" i="5"/>
  <c r="L16" i="5"/>
  <c r="K16" i="5"/>
  <c r="M16" i="5" s="1"/>
  <c r="N16" i="5" s="1"/>
  <c r="D16" i="5"/>
  <c r="T15" i="5"/>
  <c r="D15" i="5"/>
  <c r="K15" i="5" s="1"/>
  <c r="T14" i="5"/>
  <c r="L14" i="5"/>
  <c r="K14" i="5"/>
  <c r="D14" i="5"/>
  <c r="T13" i="5"/>
  <c r="D13" i="5"/>
  <c r="T12" i="5"/>
  <c r="L12" i="5"/>
  <c r="K12" i="5"/>
  <c r="M12" i="5" s="1"/>
  <c r="N12" i="5" s="1"/>
  <c r="D12" i="5"/>
  <c r="T11" i="5"/>
  <c r="L11" i="5"/>
  <c r="K11" i="5"/>
  <c r="D11" i="5"/>
  <c r="T10" i="5"/>
  <c r="D10" i="5"/>
  <c r="L10" i="5" s="1"/>
  <c r="T9" i="5"/>
  <c r="L9" i="5"/>
  <c r="D9" i="5"/>
  <c r="K9" i="5" s="1"/>
  <c r="M9" i="5" s="1"/>
  <c r="N9" i="5" s="1"/>
  <c r="T8" i="5"/>
  <c r="L8" i="5"/>
  <c r="K8" i="5"/>
  <c r="M8" i="5" s="1"/>
  <c r="N8" i="5" s="1"/>
  <c r="D8" i="5"/>
  <c r="T7" i="5"/>
  <c r="D7" i="5"/>
  <c r="T6" i="5"/>
  <c r="L6" i="5"/>
  <c r="K6" i="5"/>
  <c r="M6" i="5" s="1"/>
  <c r="N6" i="5" s="1"/>
  <c r="D6" i="5"/>
  <c r="T5" i="5"/>
  <c r="K5" i="5"/>
  <c r="D5" i="5"/>
  <c r="L5" i="5" s="1"/>
  <c r="T4" i="5"/>
  <c r="L4" i="5"/>
  <c r="K4" i="5"/>
  <c r="M4" i="5" s="1"/>
  <c r="N4" i="5" s="1"/>
  <c r="V4" i="5" s="1"/>
  <c r="D4" i="5"/>
  <c r="T3" i="5"/>
  <c r="K3" i="5"/>
  <c r="D3" i="5"/>
  <c r="L3" i="5" s="1"/>
  <c r="T2" i="5"/>
  <c r="D2" i="5"/>
  <c r="J39" i="5" s="1"/>
  <c r="R48" i="4"/>
  <c r="I48" i="4"/>
  <c r="G48" i="4"/>
  <c r="R47" i="4"/>
  <c r="G47" i="4" s="1"/>
  <c r="R46" i="4"/>
  <c r="L46" i="4"/>
  <c r="G46" i="4" s="1"/>
  <c r="I45" i="4"/>
  <c r="G45" i="4"/>
  <c r="S44" i="4"/>
  <c r="S45" i="4" s="1"/>
  <c r="I44" i="4"/>
  <c r="G44" i="4"/>
  <c r="X43" i="4"/>
  <c r="W43" i="4"/>
  <c r="S43" i="4"/>
  <c r="V42" i="4"/>
  <c r="W42" i="4" s="1"/>
  <c r="S42" i="4"/>
  <c r="T38" i="4"/>
  <c r="N38" i="4"/>
  <c r="D38" i="4"/>
  <c r="L38" i="4" s="1"/>
  <c r="T37" i="4"/>
  <c r="N37" i="4"/>
  <c r="S37" i="4" s="1"/>
  <c r="K37" i="4"/>
  <c r="D37" i="4"/>
  <c r="L37" i="4" s="1"/>
  <c r="T36" i="4"/>
  <c r="N36" i="4"/>
  <c r="D36" i="4"/>
  <c r="T35" i="4"/>
  <c r="N35" i="4"/>
  <c r="L35" i="4"/>
  <c r="K35" i="4"/>
  <c r="D35" i="4"/>
  <c r="T34" i="4"/>
  <c r="N34" i="4"/>
  <c r="D34" i="4"/>
  <c r="L34" i="4" s="1"/>
  <c r="T33" i="4"/>
  <c r="N33" i="4"/>
  <c r="L33" i="4"/>
  <c r="D33" i="4"/>
  <c r="K33" i="4" s="1"/>
  <c r="T32" i="4"/>
  <c r="N32" i="4"/>
  <c r="L32" i="4"/>
  <c r="K32" i="4"/>
  <c r="D32" i="4"/>
  <c r="T31" i="4"/>
  <c r="D31" i="4"/>
  <c r="L31" i="4" s="1"/>
  <c r="T30" i="4"/>
  <c r="D30" i="4"/>
  <c r="T29" i="4"/>
  <c r="L29" i="4"/>
  <c r="K29" i="4"/>
  <c r="M29" i="4" s="1"/>
  <c r="N29" i="4" s="1"/>
  <c r="D29" i="4"/>
  <c r="T28" i="4"/>
  <c r="D28" i="4"/>
  <c r="T27" i="4"/>
  <c r="K27" i="4"/>
  <c r="D27" i="4"/>
  <c r="L27" i="4" s="1"/>
  <c r="T26" i="4"/>
  <c r="L26" i="4"/>
  <c r="K26" i="4"/>
  <c r="M26" i="4" s="1"/>
  <c r="N26" i="4" s="1"/>
  <c r="D26" i="4"/>
  <c r="T25" i="4"/>
  <c r="K25" i="4"/>
  <c r="D25" i="4"/>
  <c r="L25" i="4" s="1"/>
  <c r="T24" i="4"/>
  <c r="K24" i="4"/>
  <c r="D24" i="4"/>
  <c r="L24" i="4" s="1"/>
  <c r="T23" i="4"/>
  <c r="D23" i="4"/>
  <c r="K23" i="4" s="1"/>
  <c r="T22" i="4"/>
  <c r="L22" i="4"/>
  <c r="K22" i="4"/>
  <c r="D22" i="4"/>
  <c r="T21" i="4"/>
  <c r="L21" i="4"/>
  <c r="K21" i="4"/>
  <c r="D21" i="4"/>
  <c r="T20" i="4"/>
  <c r="L20" i="4"/>
  <c r="K20" i="4"/>
  <c r="D20" i="4"/>
  <c r="T19" i="4"/>
  <c r="D19" i="4"/>
  <c r="L19" i="4" s="1"/>
  <c r="T18" i="4"/>
  <c r="D18" i="4"/>
  <c r="L18" i="4" s="1"/>
  <c r="T17" i="4"/>
  <c r="L17" i="4"/>
  <c r="D17" i="4"/>
  <c r="K17" i="4" s="1"/>
  <c r="T16" i="4"/>
  <c r="L16" i="4"/>
  <c r="K16" i="4"/>
  <c r="D16" i="4"/>
  <c r="T15" i="4"/>
  <c r="L15" i="4"/>
  <c r="K15" i="4"/>
  <c r="J15" i="4"/>
  <c r="D15" i="4"/>
  <c r="T14" i="4"/>
  <c r="D14" i="4"/>
  <c r="L14" i="4" s="1"/>
  <c r="T13" i="4"/>
  <c r="L13" i="4"/>
  <c r="K13" i="4"/>
  <c r="M13" i="4" s="1"/>
  <c r="N13" i="4" s="1"/>
  <c r="D13" i="4"/>
  <c r="T12" i="4"/>
  <c r="D12" i="4"/>
  <c r="T11" i="4"/>
  <c r="K11" i="4"/>
  <c r="D11" i="4"/>
  <c r="L11" i="4" s="1"/>
  <c r="T10" i="4"/>
  <c r="L10" i="4"/>
  <c r="K10" i="4"/>
  <c r="M10" i="4" s="1"/>
  <c r="N10" i="4" s="1"/>
  <c r="D10" i="4"/>
  <c r="T9" i="4"/>
  <c r="L9" i="4"/>
  <c r="K9" i="4"/>
  <c r="D9" i="4"/>
  <c r="T8" i="4"/>
  <c r="D8" i="4"/>
  <c r="T7" i="4"/>
  <c r="K7" i="4"/>
  <c r="J7" i="4"/>
  <c r="D7" i="4"/>
  <c r="L7" i="4" s="1"/>
  <c r="T6" i="4"/>
  <c r="D6" i="4"/>
  <c r="T5" i="4"/>
  <c r="D5" i="4"/>
  <c r="K5" i="4" s="1"/>
  <c r="T4" i="4"/>
  <c r="L4" i="4"/>
  <c r="K4" i="4"/>
  <c r="D4" i="4"/>
  <c r="T3" i="4"/>
  <c r="L3" i="4"/>
  <c r="K3" i="4"/>
  <c r="M3" i="4" s="1"/>
  <c r="N3" i="4" s="1"/>
  <c r="D3" i="4"/>
  <c r="T2" i="4"/>
  <c r="D2" i="4"/>
  <c r="G49" i="3"/>
  <c r="G48" i="3"/>
  <c r="G47" i="3"/>
  <c r="G46" i="3"/>
  <c r="G45" i="3"/>
  <c r="W44" i="3"/>
  <c r="S44" i="3" s="1"/>
  <c r="V43" i="3"/>
  <c r="W43" i="3" s="1"/>
  <c r="S43" i="3" s="1"/>
  <c r="T39" i="3"/>
  <c r="N39" i="3"/>
  <c r="V39" i="3" s="1"/>
  <c r="K39" i="3"/>
  <c r="D39" i="3"/>
  <c r="L39" i="3" s="1"/>
  <c r="T38" i="3"/>
  <c r="N38" i="3"/>
  <c r="D38" i="3"/>
  <c r="K38" i="3" s="1"/>
  <c r="T37" i="3"/>
  <c r="N37" i="3"/>
  <c r="D37" i="3"/>
  <c r="T36" i="3"/>
  <c r="D36" i="3"/>
  <c r="T35" i="3"/>
  <c r="D35" i="3"/>
  <c r="T34" i="3"/>
  <c r="J34" i="3"/>
  <c r="D34" i="3"/>
  <c r="T33" i="3"/>
  <c r="D33" i="3"/>
  <c r="T32" i="3"/>
  <c r="D32" i="3"/>
  <c r="T31" i="3"/>
  <c r="D31" i="3"/>
  <c r="T30" i="3"/>
  <c r="D30" i="3"/>
  <c r="T29" i="3"/>
  <c r="D29" i="3"/>
  <c r="T28" i="3"/>
  <c r="D28" i="3"/>
  <c r="L28" i="3" s="1"/>
  <c r="T27" i="3"/>
  <c r="D27" i="3"/>
  <c r="T26" i="3"/>
  <c r="D26" i="3"/>
  <c r="T25" i="3"/>
  <c r="J25" i="3"/>
  <c r="D25" i="3"/>
  <c r="T24" i="3"/>
  <c r="D24" i="3"/>
  <c r="L24" i="3" s="1"/>
  <c r="T23" i="3"/>
  <c r="D23" i="3"/>
  <c r="T22" i="3"/>
  <c r="D22" i="3"/>
  <c r="T21" i="3"/>
  <c r="D21" i="3"/>
  <c r="T20" i="3"/>
  <c r="D20" i="3"/>
  <c r="T19" i="3"/>
  <c r="D19" i="3"/>
  <c r="T18" i="3"/>
  <c r="D18" i="3"/>
  <c r="T17" i="3"/>
  <c r="D17" i="3"/>
  <c r="L17" i="3" s="1"/>
  <c r="T16" i="3"/>
  <c r="D16" i="3"/>
  <c r="T15" i="3"/>
  <c r="D15" i="3"/>
  <c r="T14" i="3"/>
  <c r="D14" i="3"/>
  <c r="T13" i="3"/>
  <c r="D13" i="3"/>
  <c r="T12" i="3"/>
  <c r="D12" i="3"/>
  <c r="T11" i="3"/>
  <c r="D11" i="3"/>
  <c r="T10" i="3"/>
  <c r="D10" i="3"/>
  <c r="T9" i="3"/>
  <c r="D9" i="3"/>
  <c r="T8" i="3"/>
  <c r="D8" i="3"/>
  <c r="L8" i="3" s="1"/>
  <c r="T7" i="3"/>
  <c r="D7" i="3"/>
  <c r="L7" i="3" s="1"/>
  <c r="T6" i="3"/>
  <c r="D6" i="3"/>
  <c r="L6" i="3" s="1"/>
  <c r="T5" i="3"/>
  <c r="D5" i="3"/>
  <c r="L5" i="3" s="1"/>
  <c r="T4" i="3"/>
  <c r="D4" i="3"/>
  <c r="T3" i="3"/>
  <c r="D3" i="3"/>
  <c r="T2" i="3"/>
  <c r="G48" i="2"/>
  <c r="F48" i="2" s="1"/>
  <c r="G47" i="2"/>
  <c r="F47" i="2" s="1"/>
  <c r="G46" i="2"/>
  <c r="F46" i="2"/>
  <c r="G45" i="2"/>
  <c r="F45" i="2" s="1"/>
  <c r="G44" i="2"/>
  <c r="F44" i="2" s="1"/>
  <c r="W43" i="2"/>
  <c r="S43" i="2" s="1"/>
  <c r="V42" i="2"/>
  <c r="W42" i="2" s="1"/>
  <c r="S42" i="2" s="1"/>
  <c r="T38" i="2"/>
  <c r="N38" i="2"/>
  <c r="K38" i="2"/>
  <c r="D38" i="2"/>
  <c r="L38" i="2" s="1"/>
  <c r="T37" i="2"/>
  <c r="N37" i="2"/>
  <c r="D37" i="2"/>
  <c r="T36" i="2"/>
  <c r="N36" i="2"/>
  <c r="D36" i="2"/>
  <c r="K36" i="2" s="1"/>
  <c r="T35" i="2"/>
  <c r="D35" i="2"/>
  <c r="T34" i="2"/>
  <c r="D34" i="2"/>
  <c r="T33" i="2"/>
  <c r="D33" i="2"/>
  <c r="T32" i="2"/>
  <c r="D32" i="2"/>
  <c r="T31" i="2"/>
  <c r="D31" i="2"/>
  <c r="T30" i="2"/>
  <c r="D30" i="2"/>
  <c r="K30" i="2" s="1"/>
  <c r="T29" i="2"/>
  <c r="D29" i="2"/>
  <c r="T28" i="2"/>
  <c r="D28" i="2"/>
  <c r="L28" i="2" s="1"/>
  <c r="T27" i="2"/>
  <c r="D27" i="2"/>
  <c r="T26" i="2"/>
  <c r="D26" i="2"/>
  <c r="T25" i="2"/>
  <c r="D25" i="2"/>
  <c r="T24" i="2"/>
  <c r="D24" i="2"/>
  <c r="T23" i="2"/>
  <c r="D23" i="2"/>
  <c r="L23" i="2" s="1"/>
  <c r="T22" i="2"/>
  <c r="D22" i="2"/>
  <c r="L22" i="2" s="1"/>
  <c r="T21" i="2"/>
  <c r="D21" i="2"/>
  <c r="L21" i="2" s="1"/>
  <c r="T20" i="2"/>
  <c r="D20" i="2"/>
  <c r="L20" i="2" s="1"/>
  <c r="T19" i="2"/>
  <c r="D19" i="2"/>
  <c r="T18" i="2"/>
  <c r="D18" i="2"/>
  <c r="L18" i="2" s="1"/>
  <c r="T17" i="2"/>
  <c r="D17" i="2"/>
  <c r="L17" i="2" s="1"/>
  <c r="T16" i="2"/>
  <c r="D16" i="2"/>
  <c r="L16" i="2" s="1"/>
  <c r="T15" i="2"/>
  <c r="D15" i="2"/>
  <c r="L15" i="2" s="1"/>
  <c r="T14" i="2"/>
  <c r="D14" i="2"/>
  <c r="T13" i="2"/>
  <c r="D13" i="2"/>
  <c r="L13" i="2" s="1"/>
  <c r="T12" i="2"/>
  <c r="D12" i="2"/>
  <c r="L12" i="2" s="1"/>
  <c r="T11" i="2"/>
  <c r="D11" i="2"/>
  <c r="L11" i="2" s="1"/>
  <c r="T10" i="2"/>
  <c r="D10" i="2"/>
  <c r="L10" i="2" s="1"/>
  <c r="T9" i="2"/>
  <c r="D9" i="2"/>
  <c r="T8" i="2"/>
  <c r="T7" i="2"/>
  <c r="L7" i="2"/>
  <c r="K7" i="2"/>
  <c r="T6" i="2"/>
  <c r="L6" i="2"/>
  <c r="K6" i="2"/>
  <c r="T5" i="2"/>
  <c r="L5" i="2"/>
  <c r="K5" i="2"/>
  <c r="M5" i="2" s="1"/>
  <c r="N5" i="2" s="1"/>
  <c r="T4" i="2"/>
  <c r="L4" i="2"/>
  <c r="K4" i="2"/>
  <c r="M4" i="2" s="1"/>
  <c r="N4" i="2" s="1"/>
  <c r="T3" i="2"/>
  <c r="L3" i="2"/>
  <c r="K3" i="2"/>
  <c r="M3" i="2" s="1"/>
  <c r="N3" i="2" s="1"/>
  <c r="T2" i="2"/>
  <c r="L2" i="2"/>
  <c r="K2" i="2"/>
  <c r="G52" i="1"/>
  <c r="G51" i="1"/>
  <c r="G50" i="1"/>
  <c r="G49" i="1"/>
  <c r="G48" i="1"/>
  <c r="W47" i="1"/>
  <c r="S47" i="1" s="1"/>
  <c r="S48" i="1" s="1"/>
  <c r="V46" i="1"/>
  <c r="W46" i="1" s="1"/>
  <c r="S46" i="1" s="1"/>
  <c r="T42" i="1"/>
  <c r="N42" i="1"/>
  <c r="D42" i="1"/>
  <c r="L42" i="1" s="1"/>
  <c r="T41" i="1"/>
  <c r="N41" i="1"/>
  <c r="D41" i="1"/>
  <c r="K41" i="1" s="1"/>
  <c r="T40" i="1"/>
  <c r="N40" i="1"/>
  <c r="X40" i="1" s="1"/>
  <c r="L40" i="1"/>
  <c r="K40" i="1"/>
  <c r="M40" i="1" s="1"/>
  <c r="D40" i="1"/>
  <c r="T39" i="1"/>
  <c r="N39" i="1"/>
  <c r="D39" i="1"/>
  <c r="K39" i="1" s="1"/>
  <c r="T38" i="1"/>
  <c r="N38" i="1"/>
  <c r="L38" i="1"/>
  <c r="K38" i="1"/>
  <c r="M38" i="1" s="1"/>
  <c r="D38" i="1"/>
  <c r="T37" i="1"/>
  <c r="D37" i="1"/>
  <c r="L37" i="1" s="1"/>
  <c r="T36" i="1"/>
  <c r="D36" i="1"/>
  <c r="L36" i="1" s="1"/>
  <c r="T35" i="1"/>
  <c r="D35" i="1"/>
  <c r="L35" i="1" s="1"/>
  <c r="T34" i="1"/>
  <c r="D34" i="1"/>
  <c r="L34" i="1" s="1"/>
  <c r="T33" i="1"/>
  <c r="D33" i="1"/>
  <c r="L33" i="1" s="1"/>
  <c r="T32" i="1"/>
  <c r="D32" i="1"/>
  <c r="L32" i="1" s="1"/>
  <c r="T31" i="1"/>
  <c r="D31" i="1"/>
  <c r="T30" i="1"/>
  <c r="L30" i="1"/>
  <c r="D30" i="1"/>
  <c r="T29" i="1"/>
  <c r="L29" i="1"/>
  <c r="D29" i="1"/>
  <c r="T28" i="1"/>
  <c r="L28" i="1"/>
  <c r="D28" i="1"/>
  <c r="T27" i="1"/>
  <c r="D27" i="1"/>
  <c r="L27" i="1" s="1"/>
  <c r="T26" i="1"/>
  <c r="D26" i="1"/>
  <c r="L26" i="1" s="1"/>
  <c r="T25" i="1"/>
  <c r="D25" i="1"/>
  <c r="L25" i="1" s="1"/>
  <c r="T24" i="1"/>
  <c r="D24" i="1"/>
  <c r="L24" i="1" s="1"/>
  <c r="T23" i="1"/>
  <c r="D23" i="1"/>
  <c r="L23" i="1" s="1"/>
  <c r="T22" i="1"/>
  <c r="T21" i="1"/>
  <c r="L21" i="1"/>
  <c r="K21" i="1"/>
  <c r="T20" i="1"/>
  <c r="L20" i="1"/>
  <c r="K20" i="1"/>
  <c r="M20" i="1" s="1"/>
  <c r="N20" i="1" s="1"/>
  <c r="T19" i="1"/>
  <c r="L19" i="1"/>
  <c r="K19" i="1"/>
  <c r="T18" i="1"/>
  <c r="L18" i="1"/>
  <c r="K18" i="1"/>
  <c r="T17" i="1"/>
  <c r="L17" i="1"/>
  <c r="K17" i="1"/>
  <c r="T16" i="1"/>
  <c r="L16" i="1"/>
  <c r="K16" i="1"/>
  <c r="T15" i="1"/>
  <c r="L15" i="1"/>
  <c r="K15" i="1"/>
  <c r="T14" i="1"/>
  <c r="L14" i="1"/>
  <c r="K14" i="1"/>
  <c r="M14" i="1" s="1"/>
  <c r="N14" i="1" s="1"/>
  <c r="X14" i="1" s="1"/>
  <c r="T13" i="1"/>
  <c r="L13" i="1"/>
  <c r="K13" i="1"/>
  <c r="T12" i="1"/>
  <c r="L12" i="1"/>
  <c r="K12" i="1"/>
  <c r="T11" i="1"/>
  <c r="L11" i="1"/>
  <c r="K11" i="1"/>
  <c r="T10" i="1"/>
  <c r="L10" i="1"/>
  <c r="K10" i="1"/>
  <c r="T9" i="1"/>
  <c r="L9" i="1"/>
  <c r="K9" i="1"/>
  <c r="M9" i="1" s="1"/>
  <c r="N9" i="1" s="1"/>
  <c r="T8" i="1"/>
  <c r="L8" i="1"/>
  <c r="K8" i="1"/>
  <c r="M8" i="1" s="1"/>
  <c r="N8" i="1" s="1"/>
  <c r="T7" i="1"/>
  <c r="L7" i="1"/>
  <c r="K7" i="1"/>
  <c r="T6" i="1"/>
  <c r="L6" i="1"/>
  <c r="K6" i="1"/>
  <c r="T5" i="1"/>
  <c r="L5" i="1"/>
  <c r="K5" i="1"/>
  <c r="M5" i="1" s="1"/>
  <c r="N5" i="1" s="1"/>
  <c r="L4" i="1"/>
  <c r="K4" i="1"/>
  <c r="M4" i="1" s="1"/>
  <c r="N4" i="1" s="1"/>
  <c r="T3" i="1"/>
  <c r="L3" i="1"/>
  <c r="M33" i="4" l="1"/>
  <c r="M17" i="4"/>
  <c r="N17" i="4" s="1"/>
  <c r="M3" i="1"/>
  <c r="N3" i="1" s="1"/>
  <c r="M2" i="1"/>
  <c r="N2" i="1" s="1"/>
  <c r="M3" i="10"/>
  <c r="N3" i="10" s="1"/>
  <c r="M24" i="7"/>
  <c r="N24" i="7" s="1"/>
  <c r="M35" i="4"/>
  <c r="M32" i="4"/>
  <c r="M22" i="4"/>
  <c r="N22" i="4" s="1"/>
  <c r="M18" i="1"/>
  <c r="N18" i="1" s="1"/>
  <c r="M10" i="1"/>
  <c r="N10" i="1" s="1"/>
  <c r="M5" i="11"/>
  <c r="N5" i="11" s="1"/>
  <c r="M10" i="6"/>
  <c r="N10" i="6" s="1"/>
  <c r="S10" i="6" s="1"/>
  <c r="M19" i="11"/>
  <c r="N19" i="11" s="1"/>
  <c r="L37" i="3"/>
  <c r="K37" i="3"/>
  <c r="M37" i="3" s="1"/>
  <c r="L36" i="3"/>
  <c r="K36" i="3"/>
  <c r="M36" i="3" s="1"/>
  <c r="N36" i="3" s="1"/>
  <c r="K34" i="3"/>
  <c r="L34" i="3"/>
  <c r="M34" i="3" s="1"/>
  <c r="N34" i="3" s="1"/>
  <c r="K33" i="3"/>
  <c r="L33" i="3"/>
  <c r="K32" i="3"/>
  <c r="L32" i="3"/>
  <c r="L31" i="3"/>
  <c r="K31" i="3"/>
  <c r="M31" i="3" s="1"/>
  <c r="N31" i="3" s="1"/>
  <c r="L30" i="3"/>
  <c r="K30" i="3"/>
  <c r="M30" i="3" s="1"/>
  <c r="N30" i="3" s="1"/>
  <c r="K27" i="3"/>
  <c r="L27" i="3"/>
  <c r="M27" i="3" s="1"/>
  <c r="N27" i="3" s="1"/>
  <c r="L26" i="3"/>
  <c r="K26" i="3"/>
  <c r="M26" i="3" s="1"/>
  <c r="N26" i="3" s="1"/>
  <c r="K25" i="3"/>
  <c r="L25" i="3"/>
  <c r="K23" i="3"/>
  <c r="L23" i="3"/>
  <c r="L21" i="3"/>
  <c r="K21" i="3"/>
  <c r="M21" i="3" s="1"/>
  <c r="N21" i="3" s="1"/>
  <c r="L20" i="3"/>
  <c r="K20" i="3"/>
  <c r="M20" i="3" s="1"/>
  <c r="N20" i="3" s="1"/>
  <c r="L19" i="3"/>
  <c r="K19" i="3"/>
  <c r="M19" i="3" s="1"/>
  <c r="N19" i="3" s="1"/>
  <c r="K18" i="3"/>
  <c r="L18" i="3"/>
  <c r="M18" i="3" s="1"/>
  <c r="N18" i="3" s="1"/>
  <c r="K16" i="3"/>
  <c r="L16" i="3"/>
  <c r="M16" i="3" s="1"/>
  <c r="N16" i="3" s="1"/>
  <c r="K15" i="3"/>
  <c r="L15" i="3"/>
  <c r="L14" i="3"/>
  <c r="K14" i="3"/>
  <c r="M14" i="3" s="1"/>
  <c r="N14" i="3" s="1"/>
  <c r="K13" i="3"/>
  <c r="L13" i="3"/>
  <c r="K12" i="3"/>
  <c r="L12" i="3"/>
  <c r="K11" i="3"/>
  <c r="L11" i="3"/>
  <c r="S45" i="3"/>
  <c r="S46" i="3" s="1"/>
  <c r="M2" i="2"/>
  <c r="N2" i="2" s="1"/>
  <c r="M6" i="2"/>
  <c r="N6" i="2" s="1"/>
  <c r="L35" i="2"/>
  <c r="K35" i="2"/>
  <c r="M35" i="2" s="1"/>
  <c r="N35" i="2" s="1"/>
  <c r="K34" i="2"/>
  <c r="M34" i="2" s="1"/>
  <c r="N34" i="2" s="1"/>
  <c r="L34" i="2"/>
  <c r="L33" i="2"/>
  <c r="K33" i="2"/>
  <c r="M33" i="2" s="1"/>
  <c r="N33" i="2" s="1"/>
  <c r="L32" i="2"/>
  <c r="K32" i="2"/>
  <c r="M32" i="2" s="1"/>
  <c r="N32" i="2" s="1"/>
  <c r="N40" i="2" s="1"/>
  <c r="L29" i="2"/>
  <c r="K29" i="2"/>
  <c r="M29" i="2" s="1"/>
  <c r="N29" i="2" s="1"/>
  <c r="K27" i="2"/>
  <c r="L27" i="2"/>
  <c r="L26" i="2"/>
  <c r="K26" i="2"/>
  <c r="M26" i="2" s="1"/>
  <c r="N26" i="2" s="1"/>
  <c r="L25" i="2"/>
  <c r="K25" i="2"/>
  <c r="M25" i="2" s="1"/>
  <c r="N25" i="2" s="1"/>
  <c r="K24" i="2"/>
  <c r="L24" i="2"/>
  <c r="S44" i="2"/>
  <c r="S45" i="2" s="1"/>
  <c r="M16" i="11"/>
  <c r="N16" i="11" s="1"/>
  <c r="M36" i="10"/>
  <c r="N36" i="10" s="1"/>
  <c r="M38" i="8"/>
  <c r="M34" i="8"/>
  <c r="M4" i="6"/>
  <c r="N4" i="6" s="1"/>
  <c r="M11" i="4"/>
  <c r="N11" i="4" s="1"/>
  <c r="M32" i="7"/>
  <c r="N32" i="7" s="1"/>
  <c r="M27" i="7"/>
  <c r="N27" i="7" s="1"/>
  <c r="M20" i="7"/>
  <c r="N20" i="7" s="1"/>
  <c r="M31" i="5"/>
  <c r="N31" i="5" s="1"/>
  <c r="M7" i="6"/>
  <c r="N7" i="6" s="1"/>
  <c r="M27" i="5"/>
  <c r="N27" i="5" s="1"/>
  <c r="M24" i="4"/>
  <c r="N24" i="4" s="1"/>
  <c r="M37" i="11"/>
  <c r="M30" i="10"/>
  <c r="N30" i="10" s="1"/>
  <c r="M28" i="10"/>
  <c r="N28" i="10" s="1"/>
  <c r="M13" i="10"/>
  <c r="N13" i="10" s="1"/>
  <c r="M7" i="11"/>
  <c r="N7" i="11" s="1"/>
  <c r="M40" i="10"/>
  <c r="M32" i="10"/>
  <c r="N32" i="10" s="1"/>
  <c r="M20" i="10"/>
  <c r="N20" i="10" s="1"/>
  <c r="V20" i="10" s="1"/>
  <c r="M7" i="10"/>
  <c r="N7" i="10" s="1"/>
  <c r="M36" i="9"/>
  <c r="M19" i="1"/>
  <c r="N19" i="1" s="1"/>
  <c r="M34" i="9"/>
  <c r="M30" i="9"/>
  <c r="N30" i="9" s="1"/>
  <c r="M25" i="9"/>
  <c r="N25" i="9" s="1"/>
  <c r="M17" i="9"/>
  <c r="N17" i="9" s="1"/>
  <c r="M14" i="9"/>
  <c r="N14" i="9" s="1"/>
  <c r="M13" i="9"/>
  <c r="N13" i="9" s="1"/>
  <c r="V10" i="9"/>
  <c r="M35" i="8"/>
  <c r="M29" i="8"/>
  <c r="N29" i="8" s="1"/>
  <c r="M15" i="7"/>
  <c r="N15" i="7" s="1"/>
  <c r="M13" i="7"/>
  <c r="N13" i="7" s="1"/>
  <c r="M20" i="4"/>
  <c r="N20" i="4" s="1"/>
  <c r="M38" i="2"/>
  <c r="M12" i="1"/>
  <c r="N12" i="1" s="1"/>
  <c r="M7" i="1"/>
  <c r="N7" i="1" s="1"/>
  <c r="M18" i="8"/>
  <c r="N18" i="8" s="1"/>
  <c r="M12" i="8"/>
  <c r="N12" i="8" s="1"/>
  <c r="M11" i="8"/>
  <c r="N11" i="8" s="1"/>
  <c r="V11" i="8" s="1"/>
  <c r="M6" i="8"/>
  <c r="N6" i="8" s="1"/>
  <c r="M4" i="8"/>
  <c r="N4" i="8" s="1"/>
  <c r="M3" i="8"/>
  <c r="N3" i="8" s="1"/>
  <c r="M6" i="1"/>
  <c r="N6" i="1" s="1"/>
  <c r="M6" i="7"/>
  <c r="N6" i="7" s="1"/>
  <c r="M33" i="6"/>
  <c r="N33" i="6" s="1"/>
  <c r="M32" i="6"/>
  <c r="W32" i="6" s="1"/>
  <c r="M22" i="6"/>
  <c r="N22" i="6" s="1"/>
  <c r="M14" i="6"/>
  <c r="N14" i="6" s="1"/>
  <c r="M15" i="4"/>
  <c r="N15" i="4" s="1"/>
  <c r="M2" i="3"/>
  <c r="N2" i="3" s="1"/>
  <c r="M15" i="1"/>
  <c r="N15" i="1" s="1"/>
  <c r="M37" i="4"/>
  <c r="M27" i="4"/>
  <c r="N27" i="4" s="1"/>
  <c r="M25" i="4"/>
  <c r="N25" i="4" s="1"/>
  <c r="X25" i="4" s="1"/>
  <c r="M13" i="1"/>
  <c r="N13" i="1" s="1"/>
  <c r="M7" i="4"/>
  <c r="N7" i="4" s="1"/>
  <c r="M4" i="4"/>
  <c r="N4" i="4" s="1"/>
  <c r="M39" i="3"/>
  <c r="M7" i="2"/>
  <c r="N7" i="2" s="1"/>
  <c r="S7" i="2" s="1"/>
  <c r="S38" i="11"/>
  <c r="X38" i="11"/>
  <c r="V38" i="11"/>
  <c r="S37" i="11"/>
  <c r="X37" i="11"/>
  <c r="V37" i="11"/>
  <c r="V36" i="11"/>
  <c r="X36" i="11"/>
  <c r="S36" i="11"/>
  <c r="X35" i="11"/>
  <c r="V35" i="11"/>
  <c r="X32" i="11"/>
  <c r="V32" i="11"/>
  <c r="X28" i="11"/>
  <c r="V28" i="11"/>
  <c r="S28" i="11"/>
  <c r="S27" i="11"/>
  <c r="X27" i="11"/>
  <c r="V27" i="11"/>
  <c r="S26" i="11"/>
  <c r="X26" i="11"/>
  <c r="V26" i="11"/>
  <c r="X25" i="11"/>
  <c r="V25" i="11"/>
  <c r="S25" i="11"/>
  <c r="X12" i="11"/>
  <c r="S12" i="11"/>
  <c r="V4" i="11"/>
  <c r="S4" i="11"/>
  <c r="V39" i="10"/>
  <c r="X39" i="10"/>
  <c r="X38" i="10"/>
  <c r="V38" i="10"/>
  <c r="S38" i="10"/>
  <c r="S37" i="9"/>
  <c r="X37" i="9"/>
  <c r="X36" i="9"/>
  <c r="V36" i="9"/>
  <c r="S36" i="9"/>
  <c r="S35" i="9"/>
  <c r="V35" i="9"/>
  <c r="X35" i="9"/>
  <c r="X38" i="8"/>
  <c r="V38" i="8"/>
  <c r="S38" i="8"/>
  <c r="V37" i="8"/>
  <c r="S37" i="8"/>
  <c r="X35" i="8"/>
  <c r="V35" i="8"/>
  <c r="S35" i="8"/>
  <c r="S31" i="8"/>
  <c r="X31" i="8"/>
  <c r="V31" i="8"/>
  <c r="V36" i="7"/>
  <c r="X36" i="7"/>
  <c r="S36" i="7"/>
  <c r="S35" i="7"/>
  <c r="V35" i="7"/>
  <c r="X35" i="7"/>
  <c r="V34" i="7"/>
  <c r="S34" i="7"/>
  <c r="X34" i="7"/>
  <c r="S16" i="7"/>
  <c r="V16" i="7"/>
  <c r="X16" i="7"/>
  <c r="X38" i="6"/>
  <c r="V38" i="6"/>
  <c r="S38" i="6"/>
  <c r="V37" i="6"/>
  <c r="X37" i="6"/>
  <c r="S36" i="6"/>
  <c r="X36" i="6"/>
  <c r="V36" i="6"/>
  <c r="X37" i="5"/>
  <c r="V37" i="5"/>
  <c r="S34" i="5"/>
  <c r="X34" i="5"/>
  <c r="S18" i="5"/>
  <c r="X18" i="5"/>
  <c r="V18" i="5"/>
  <c r="S8" i="5"/>
  <c r="X8" i="5"/>
  <c r="S38" i="4"/>
  <c r="V38" i="4"/>
  <c r="X38" i="4"/>
  <c r="V36" i="4"/>
  <c r="S36" i="4"/>
  <c r="X36" i="4"/>
  <c r="S35" i="4"/>
  <c r="X35" i="4"/>
  <c r="V35" i="4"/>
  <c r="X34" i="4"/>
  <c r="S34" i="4"/>
  <c r="V33" i="4"/>
  <c r="S33" i="4"/>
  <c r="S32" i="4"/>
  <c r="V32" i="4"/>
  <c r="X32" i="4"/>
  <c r="X38" i="3"/>
  <c r="S38" i="3"/>
  <c r="X37" i="3"/>
  <c r="V37" i="3"/>
  <c r="S37" i="3"/>
  <c r="S38" i="2"/>
  <c r="X38" i="2"/>
  <c r="V38" i="2"/>
  <c r="V37" i="2"/>
  <c r="X37" i="2"/>
  <c r="S37" i="2"/>
  <c r="V36" i="2"/>
  <c r="S36" i="2"/>
  <c r="X36" i="2"/>
  <c r="X42" i="1"/>
  <c r="V42" i="1"/>
  <c r="S42" i="1"/>
  <c r="X41" i="1"/>
  <c r="S41" i="1"/>
  <c r="V41" i="1"/>
  <c r="X39" i="1"/>
  <c r="S39" i="1"/>
  <c r="V39" i="1"/>
  <c r="X38" i="1"/>
  <c r="S38" i="1"/>
  <c r="V38" i="1"/>
  <c r="V32" i="6"/>
  <c r="S32" i="6"/>
  <c r="X32" i="6"/>
  <c r="J40" i="2"/>
  <c r="V4" i="1"/>
  <c r="S4" i="1"/>
  <c r="X4" i="1"/>
  <c r="V9" i="1"/>
  <c r="X9" i="1"/>
  <c r="S9" i="1"/>
  <c r="X4" i="2"/>
  <c r="V4" i="2"/>
  <c r="S4" i="2"/>
  <c r="S10" i="4"/>
  <c r="V10" i="4"/>
  <c r="X10" i="4"/>
  <c r="X5" i="2"/>
  <c r="V5" i="2"/>
  <c r="S5" i="2"/>
  <c r="X3" i="2"/>
  <c r="V3" i="2"/>
  <c r="S3" i="2"/>
  <c r="X3" i="4"/>
  <c r="V3" i="4"/>
  <c r="S3" i="4"/>
  <c r="S8" i="1"/>
  <c r="V8" i="1"/>
  <c r="X8" i="1"/>
  <c r="V5" i="1"/>
  <c r="X5" i="1"/>
  <c r="S5" i="1"/>
  <c r="S20" i="1"/>
  <c r="X20" i="1"/>
  <c r="V20" i="1"/>
  <c r="K14" i="4"/>
  <c r="M14" i="4" s="1"/>
  <c r="N14" i="4" s="1"/>
  <c r="X14" i="7"/>
  <c r="V14" i="7"/>
  <c r="S14" i="7"/>
  <c r="L31" i="1"/>
  <c r="L39" i="1"/>
  <c r="M39" i="1" s="1"/>
  <c r="L31" i="2"/>
  <c r="K31" i="2"/>
  <c r="L4" i="3"/>
  <c r="L22" i="3"/>
  <c r="K22" i="3"/>
  <c r="K24" i="3"/>
  <c r="M24" i="3" s="1"/>
  <c r="N24" i="3" s="1"/>
  <c r="X39" i="3"/>
  <c r="S39" i="3"/>
  <c r="J44" i="1"/>
  <c r="L10" i="3"/>
  <c r="L12" i="4"/>
  <c r="K12" i="4"/>
  <c r="M12" i="4" s="1"/>
  <c r="N12" i="4" s="1"/>
  <c r="S27" i="4"/>
  <c r="X27" i="4"/>
  <c r="V27" i="4"/>
  <c r="X3" i="8"/>
  <c r="V3" i="8"/>
  <c r="S3" i="8"/>
  <c r="M21" i="1"/>
  <c r="N21" i="1" s="1"/>
  <c r="S40" i="1"/>
  <c r="L9" i="2"/>
  <c r="L37" i="2"/>
  <c r="K37" i="2"/>
  <c r="M37" i="2" s="1"/>
  <c r="X7" i="4"/>
  <c r="V15" i="4"/>
  <c r="S15" i="4"/>
  <c r="X15" i="4"/>
  <c r="M5" i="5"/>
  <c r="N5" i="5" s="1"/>
  <c r="X14" i="6"/>
  <c r="V14" i="6"/>
  <c r="S14" i="6"/>
  <c r="V30" i="6"/>
  <c r="X30" i="6"/>
  <c r="S30" i="6"/>
  <c r="N44" i="1"/>
  <c r="L19" i="2"/>
  <c r="K28" i="2"/>
  <c r="M28" i="2" s="1"/>
  <c r="N28" i="2" s="1"/>
  <c r="K17" i="3"/>
  <c r="M17" i="3" s="1"/>
  <c r="N17" i="3" s="1"/>
  <c r="L35" i="3"/>
  <c r="K35" i="3"/>
  <c r="L38" i="3"/>
  <c r="M38" i="3" s="1"/>
  <c r="J40" i="4"/>
  <c r="L2" i="4"/>
  <c r="L6" i="4"/>
  <c r="K6" i="4"/>
  <c r="L8" i="4"/>
  <c r="K8" i="4"/>
  <c r="M8" i="4" s="1"/>
  <c r="N8" i="4" s="1"/>
  <c r="X20" i="4"/>
  <c r="S20" i="4"/>
  <c r="V20" i="4"/>
  <c r="V22" i="4"/>
  <c r="X22" i="4"/>
  <c r="S22" i="4"/>
  <c r="L28" i="4"/>
  <c r="K28" i="4"/>
  <c r="M3" i="5"/>
  <c r="N3" i="5" s="1"/>
  <c r="X6" i="8"/>
  <c r="V6" i="8"/>
  <c r="S6" i="8"/>
  <c r="M11" i="1"/>
  <c r="N11" i="1" s="1"/>
  <c r="K37" i="1"/>
  <c r="M37" i="1" s="1"/>
  <c r="N37" i="1" s="1"/>
  <c r="V40" i="1"/>
  <c r="K42" i="1"/>
  <c r="M42" i="1" s="1"/>
  <c r="L14" i="2"/>
  <c r="X17" i="5"/>
  <c r="V17" i="5"/>
  <c r="S17" i="5"/>
  <c r="V9" i="6"/>
  <c r="X9" i="6"/>
  <c r="S9" i="6"/>
  <c r="V22" i="6"/>
  <c r="X22" i="6"/>
  <c r="S22" i="6"/>
  <c r="M17" i="1"/>
  <c r="N17" i="1" s="1"/>
  <c r="L8" i="2"/>
  <c r="X13" i="4"/>
  <c r="S13" i="4"/>
  <c r="V13" i="4"/>
  <c r="X6" i="5"/>
  <c r="S6" i="5"/>
  <c r="V6" i="5"/>
  <c r="M23" i="5"/>
  <c r="N23" i="5" s="1"/>
  <c r="V29" i="4"/>
  <c r="X29" i="4"/>
  <c r="S29" i="4"/>
  <c r="S9" i="5"/>
  <c r="X9" i="5"/>
  <c r="V9" i="5"/>
  <c r="X12" i="5"/>
  <c r="V12" i="5"/>
  <c r="S12" i="5"/>
  <c r="X19" i="5"/>
  <c r="V19" i="5"/>
  <c r="S19" i="5"/>
  <c r="V14" i="1"/>
  <c r="S14" i="1"/>
  <c r="K32" i="1"/>
  <c r="M32" i="1" s="1"/>
  <c r="N32" i="1" s="1"/>
  <c r="L41" i="1"/>
  <c r="M41" i="1" s="1"/>
  <c r="M9" i="4"/>
  <c r="N9" i="4" s="1"/>
  <c r="M16" i="4"/>
  <c r="N16" i="4" s="1"/>
  <c r="M21" i="4"/>
  <c r="N21" i="4" s="1"/>
  <c r="M16" i="1"/>
  <c r="N16" i="1" s="1"/>
  <c r="L29" i="3"/>
  <c r="K29" i="3"/>
  <c r="M29" i="3" s="1"/>
  <c r="N29" i="3" s="1"/>
  <c r="S26" i="4"/>
  <c r="X26" i="4"/>
  <c r="V26" i="4"/>
  <c r="X16" i="5"/>
  <c r="V16" i="5"/>
  <c r="S16" i="5"/>
  <c r="V6" i="7"/>
  <c r="X6" i="7"/>
  <c r="S6" i="7"/>
  <c r="X29" i="7"/>
  <c r="V29" i="7"/>
  <c r="S29" i="7"/>
  <c r="L30" i="2"/>
  <c r="M30" i="2" s="1"/>
  <c r="N30" i="2" s="1"/>
  <c r="L36" i="2"/>
  <c r="M36" i="2" s="1"/>
  <c r="L3" i="3"/>
  <c r="L9" i="3"/>
  <c r="N41" i="3"/>
  <c r="L15" i="5"/>
  <c r="M15" i="5" s="1"/>
  <c r="N15" i="5" s="1"/>
  <c r="M18" i="7"/>
  <c r="N18" i="7" s="1"/>
  <c r="V16" i="8"/>
  <c r="S16" i="8"/>
  <c r="S19" i="8"/>
  <c r="V19" i="8"/>
  <c r="X19" i="8"/>
  <c r="K22" i="8"/>
  <c r="L22" i="8"/>
  <c r="S27" i="8"/>
  <c r="X27" i="8"/>
  <c r="M11" i="5"/>
  <c r="N11" i="5" s="1"/>
  <c r="L21" i="5"/>
  <c r="X10" i="6"/>
  <c r="V10" i="6"/>
  <c r="K9" i="7"/>
  <c r="L9" i="7"/>
  <c r="L25" i="8"/>
  <c r="K25" i="8"/>
  <c r="V30" i="8"/>
  <c r="X30" i="8"/>
  <c r="S30" i="8"/>
  <c r="V13" i="9"/>
  <c r="X13" i="9"/>
  <c r="S13" i="9"/>
  <c r="X13" i="10"/>
  <c r="V13" i="10"/>
  <c r="S13" i="10"/>
  <c r="L7" i="5"/>
  <c r="K7" i="5"/>
  <c r="M14" i="5"/>
  <c r="N14" i="5" s="1"/>
  <c r="M18" i="6"/>
  <c r="N18" i="6" s="1"/>
  <c r="L25" i="7"/>
  <c r="K25" i="7"/>
  <c r="M25" i="7" s="1"/>
  <c r="N25" i="7" s="1"/>
  <c r="M30" i="7"/>
  <c r="N30" i="7" s="1"/>
  <c r="M37" i="7"/>
  <c r="S4" i="9"/>
  <c r="X4" i="9"/>
  <c r="V4" i="9"/>
  <c r="L36" i="4"/>
  <c r="K36" i="4"/>
  <c r="M36" i="4" s="1"/>
  <c r="V36" i="5"/>
  <c r="X36" i="5"/>
  <c r="X29" i="6"/>
  <c r="V29" i="6"/>
  <c r="L10" i="7"/>
  <c r="K10" i="7"/>
  <c r="X19" i="7"/>
  <c r="V19" i="7"/>
  <c r="L21" i="7"/>
  <c r="K21" i="7"/>
  <c r="V12" i="8"/>
  <c r="S12" i="8"/>
  <c r="X12" i="8"/>
  <c r="S14" i="8"/>
  <c r="X14" i="8"/>
  <c r="V14" i="8"/>
  <c r="S18" i="8"/>
  <c r="X18" i="8"/>
  <c r="V18" i="8"/>
  <c r="K6" i="3"/>
  <c r="M6" i="3" s="1"/>
  <c r="N6" i="3" s="1"/>
  <c r="V34" i="4"/>
  <c r="V37" i="4"/>
  <c r="S4" i="5"/>
  <c r="K10" i="5"/>
  <c r="M10" i="5" s="1"/>
  <c r="N10" i="5" s="1"/>
  <c r="S36" i="5"/>
  <c r="L11" i="6"/>
  <c r="S27" i="6"/>
  <c r="S29" i="6"/>
  <c r="K37" i="6"/>
  <c r="M37" i="6" s="1"/>
  <c r="K26" i="7"/>
  <c r="L26" i="7"/>
  <c r="L28" i="7"/>
  <c r="K28" i="7"/>
  <c r="L33" i="7"/>
  <c r="K33" i="7"/>
  <c r="M33" i="7" s="1"/>
  <c r="N33" i="7" s="1"/>
  <c r="S43" i="7"/>
  <c r="S44" i="7" s="1"/>
  <c r="S45" i="7" s="1"/>
  <c r="X43" i="7"/>
  <c r="L10" i="8"/>
  <c r="K10" i="8"/>
  <c r="X16" i="8"/>
  <c r="V17" i="9"/>
  <c r="X17" i="9"/>
  <c r="S17" i="9"/>
  <c r="X37" i="4"/>
  <c r="V8" i="5"/>
  <c r="L13" i="5"/>
  <c r="K13" i="5"/>
  <c r="K3" i="6"/>
  <c r="J40" i="6"/>
  <c r="L24" i="6"/>
  <c r="X31" i="6"/>
  <c r="S31" i="6"/>
  <c r="V33" i="6"/>
  <c r="S33" i="6"/>
  <c r="X35" i="6"/>
  <c r="S35" i="6"/>
  <c r="S19" i="7"/>
  <c r="S8" i="8"/>
  <c r="X8" i="8"/>
  <c r="S23" i="8"/>
  <c r="X23" i="8"/>
  <c r="V23" i="8"/>
  <c r="S25" i="4"/>
  <c r="K31" i="4"/>
  <c r="M31" i="4" s="1"/>
  <c r="N31" i="4" s="1"/>
  <c r="L2" i="5"/>
  <c r="X4" i="5"/>
  <c r="L25" i="5"/>
  <c r="S35" i="5"/>
  <c r="L37" i="5"/>
  <c r="K37" i="5"/>
  <c r="L3" i="6"/>
  <c r="M6" i="6"/>
  <c r="N6" i="6" s="1"/>
  <c r="K8" i="6"/>
  <c r="M8" i="6" s="1"/>
  <c r="N8" i="6" s="1"/>
  <c r="X27" i="6"/>
  <c r="S13" i="7"/>
  <c r="X13" i="7"/>
  <c r="V13" i="7"/>
  <c r="V15" i="7"/>
  <c r="X15" i="7"/>
  <c r="L17" i="7"/>
  <c r="K17" i="7"/>
  <c r="S17" i="8"/>
  <c r="X17" i="8"/>
  <c r="V17" i="8"/>
  <c r="M26" i="8"/>
  <c r="N26" i="8" s="1"/>
  <c r="V5" i="9"/>
  <c r="X5" i="9"/>
  <c r="S5" i="9"/>
  <c r="S23" i="9"/>
  <c r="V23" i="9"/>
  <c r="X23" i="9"/>
  <c r="K19" i="4"/>
  <c r="M19" i="4" s="1"/>
  <c r="N19" i="4" s="1"/>
  <c r="X33" i="4"/>
  <c r="K38" i="4"/>
  <c r="M38" i="4" s="1"/>
  <c r="K2" i="5"/>
  <c r="L13" i="6"/>
  <c r="S26" i="6"/>
  <c r="M28" i="6"/>
  <c r="N28" i="6" s="1"/>
  <c r="V31" i="6"/>
  <c r="X33" i="6"/>
  <c r="V35" i="6"/>
  <c r="S15" i="7"/>
  <c r="M22" i="7"/>
  <c r="N22" i="7" s="1"/>
  <c r="M7" i="8"/>
  <c r="N7" i="8" s="1"/>
  <c r="V8" i="8"/>
  <c r="L13" i="8"/>
  <c r="M13" i="8" s="1"/>
  <c r="N13" i="8" s="1"/>
  <c r="V38" i="3"/>
  <c r="J41" i="3"/>
  <c r="V25" i="4"/>
  <c r="V35" i="5"/>
  <c r="L17" i="6"/>
  <c r="K5" i="8"/>
  <c r="L5" i="8"/>
  <c r="L9" i="8"/>
  <c r="K9" i="8"/>
  <c r="M9" i="8" s="1"/>
  <c r="N9" i="8" s="1"/>
  <c r="X11" i="8"/>
  <c r="S11" i="8"/>
  <c r="X29" i="8"/>
  <c r="S29" i="8"/>
  <c r="V29" i="8"/>
  <c r="K28" i="3"/>
  <c r="M28" i="3" s="1"/>
  <c r="N28" i="3" s="1"/>
  <c r="L5" i="4"/>
  <c r="M5" i="4" s="1"/>
  <c r="N5" i="4" s="1"/>
  <c r="K18" i="4"/>
  <c r="M18" i="4" s="1"/>
  <c r="N18" i="4" s="1"/>
  <c r="L23" i="4"/>
  <c r="M23" i="4" s="1"/>
  <c r="N23" i="4" s="1"/>
  <c r="L30" i="4"/>
  <c r="K30" i="4"/>
  <c r="M30" i="4" s="1"/>
  <c r="N30" i="4" s="1"/>
  <c r="K34" i="4"/>
  <c r="M34" i="4" s="1"/>
  <c r="S37" i="5"/>
  <c r="M2" i="6"/>
  <c r="N2" i="6" s="1"/>
  <c r="X2" i="6" s="1"/>
  <c r="M25" i="6"/>
  <c r="N25" i="6" s="1"/>
  <c r="X26" i="6"/>
  <c r="L38" i="6"/>
  <c r="M38" i="6" s="1"/>
  <c r="X38" i="7"/>
  <c r="V38" i="7"/>
  <c r="M23" i="7"/>
  <c r="N23" i="7" s="1"/>
  <c r="T6" i="9"/>
  <c r="V6" i="9" s="1"/>
  <c r="M21" i="9"/>
  <c r="N21" i="9" s="1"/>
  <c r="V25" i="9"/>
  <c r="X25" i="9"/>
  <c r="S25" i="9"/>
  <c r="K28" i="9"/>
  <c r="M28" i="9" s="1"/>
  <c r="N28" i="9" s="1"/>
  <c r="V30" i="9"/>
  <c r="S30" i="9"/>
  <c r="X30" i="9"/>
  <c r="K33" i="9"/>
  <c r="L33" i="9"/>
  <c r="K4" i="10"/>
  <c r="L4" i="10"/>
  <c r="M26" i="10"/>
  <c r="N26" i="10" s="1"/>
  <c r="K2" i="9"/>
  <c r="J40" i="9"/>
  <c r="X8" i="9"/>
  <c r="V8" i="9"/>
  <c r="M34" i="6"/>
  <c r="N34" i="6" s="1"/>
  <c r="L2" i="7"/>
  <c r="M2" i="7" s="1"/>
  <c r="N2" i="7" s="1"/>
  <c r="J40" i="8"/>
  <c r="K2" i="8"/>
  <c r="M2" i="8" s="1"/>
  <c r="N2" i="8" s="1"/>
  <c r="L33" i="8"/>
  <c r="M33" i="8" s="1"/>
  <c r="N33" i="8" s="1"/>
  <c r="L2" i="9"/>
  <c r="S8" i="9"/>
  <c r="L16" i="9"/>
  <c r="K16" i="9"/>
  <c r="S21" i="10"/>
  <c r="V21" i="10"/>
  <c r="X21" i="10"/>
  <c r="J40" i="11"/>
  <c r="L2" i="11"/>
  <c r="K2" i="11"/>
  <c r="M18" i="9"/>
  <c r="N18" i="9" s="1"/>
  <c r="V31" i="9"/>
  <c r="S31" i="9"/>
  <c r="X31" i="9"/>
  <c r="X27" i="10"/>
  <c r="V27" i="10"/>
  <c r="S27" i="10"/>
  <c r="X10" i="11"/>
  <c r="S10" i="11"/>
  <c r="V10" i="11"/>
  <c r="V26" i="9"/>
  <c r="S26" i="9"/>
  <c r="X26" i="9"/>
  <c r="V8" i="10"/>
  <c r="S8" i="10"/>
  <c r="X8" i="10"/>
  <c r="L11" i="10"/>
  <c r="K11" i="10"/>
  <c r="M11" i="10" s="1"/>
  <c r="N11" i="10" s="1"/>
  <c r="L7" i="9"/>
  <c r="M7" i="9" s="1"/>
  <c r="N7" i="9" s="1"/>
  <c r="K9" i="9"/>
  <c r="M9" i="9" s="1"/>
  <c r="N9" i="9" s="1"/>
  <c r="K22" i="9"/>
  <c r="M22" i="9" s="1"/>
  <c r="N22" i="9" s="1"/>
  <c r="L22" i="10"/>
  <c r="K22" i="10"/>
  <c r="M22" i="10" s="1"/>
  <c r="N22" i="10" s="1"/>
  <c r="X37" i="8"/>
  <c r="X29" i="9"/>
  <c r="V29" i="9"/>
  <c r="L32" i="9"/>
  <c r="K32" i="9"/>
  <c r="M32" i="9" s="1"/>
  <c r="N32" i="9" s="1"/>
  <c r="X34" i="9"/>
  <c r="V34" i="9"/>
  <c r="X12" i="10"/>
  <c r="V12" i="10"/>
  <c r="S12" i="10"/>
  <c r="L25" i="10"/>
  <c r="K25" i="10"/>
  <c r="V34" i="5"/>
  <c r="K36" i="6"/>
  <c r="M36" i="6" s="1"/>
  <c r="S37" i="6"/>
  <c r="K12" i="7"/>
  <c r="M12" i="7" s="1"/>
  <c r="N12" i="7" s="1"/>
  <c r="K31" i="7"/>
  <c r="L31" i="7"/>
  <c r="S37" i="7"/>
  <c r="J40" i="7"/>
  <c r="K15" i="8"/>
  <c r="M15" i="8" s="1"/>
  <c r="N15" i="8" s="1"/>
  <c r="K21" i="8"/>
  <c r="L21" i="8"/>
  <c r="M28" i="8"/>
  <c r="N28" i="8" s="1"/>
  <c r="K3" i="9"/>
  <c r="L3" i="9"/>
  <c r="K12" i="9"/>
  <c r="M12" i="9" s="1"/>
  <c r="N12" i="9" s="1"/>
  <c r="X15" i="9"/>
  <c r="S15" i="9"/>
  <c r="L27" i="9"/>
  <c r="K27" i="9"/>
  <c r="S29" i="9"/>
  <c r="S34" i="9"/>
  <c r="X14" i="10"/>
  <c r="V14" i="10"/>
  <c r="S20" i="10"/>
  <c r="X20" i="10"/>
  <c r="M5" i="6"/>
  <c r="N5" i="6" s="1"/>
  <c r="S32" i="8"/>
  <c r="X32" i="8"/>
  <c r="V36" i="8"/>
  <c r="V47" i="8"/>
  <c r="S14" i="9"/>
  <c r="S14" i="10"/>
  <c r="M11" i="7"/>
  <c r="N11" i="7" s="1"/>
  <c r="X37" i="7"/>
  <c r="L20" i="8"/>
  <c r="K20" i="8"/>
  <c r="M24" i="8"/>
  <c r="N24" i="8" s="1"/>
  <c r="X36" i="8"/>
  <c r="S6" i="9"/>
  <c r="X28" i="10"/>
  <c r="V28" i="10"/>
  <c r="S28" i="10"/>
  <c r="X32" i="10"/>
  <c r="V32" i="10"/>
  <c r="S32" i="10"/>
  <c r="X34" i="8"/>
  <c r="S34" i="8"/>
  <c r="K9" i="10"/>
  <c r="M9" i="10" s="1"/>
  <c r="N9" i="10" s="1"/>
  <c r="K16" i="10"/>
  <c r="M16" i="10" s="1"/>
  <c r="N16" i="10" s="1"/>
  <c r="M18" i="10"/>
  <c r="N18" i="10" s="1"/>
  <c r="L14" i="11"/>
  <c r="K14" i="11"/>
  <c r="M14" i="11" s="1"/>
  <c r="N14" i="11" s="1"/>
  <c r="V47" i="10"/>
  <c r="V49" i="10" s="1"/>
  <c r="S44" i="10"/>
  <c r="X17" i="11"/>
  <c r="V17" i="11"/>
  <c r="S17" i="11"/>
  <c r="V19" i="11"/>
  <c r="S19" i="11"/>
  <c r="X19" i="11"/>
  <c r="V22" i="11"/>
  <c r="S22" i="11"/>
  <c r="X22" i="11"/>
  <c r="S24" i="11"/>
  <c r="X24" i="11"/>
  <c r="V24" i="11"/>
  <c r="J42" i="10"/>
  <c r="K2" i="10"/>
  <c r="L2" i="10"/>
  <c r="L34" i="10"/>
  <c r="M34" i="10" s="1"/>
  <c r="N34" i="10" s="1"/>
  <c r="L38" i="10"/>
  <c r="K38" i="10"/>
  <c r="S45" i="10"/>
  <c r="S46" i="10" s="1"/>
  <c r="S47" i="10" s="1"/>
  <c r="S44" i="9"/>
  <c r="S45" i="9" s="1"/>
  <c r="X33" i="9"/>
  <c r="V33" i="9"/>
  <c r="K17" i="10"/>
  <c r="M17" i="10" s="1"/>
  <c r="N17" i="10" s="1"/>
  <c r="K31" i="10"/>
  <c r="M31" i="10" s="1"/>
  <c r="N31" i="10" s="1"/>
  <c r="X45" i="10"/>
  <c r="L6" i="11"/>
  <c r="M6" i="11" s="1"/>
  <c r="N6" i="11" s="1"/>
  <c r="X4" i="11"/>
  <c r="V12" i="11"/>
  <c r="M11" i="9"/>
  <c r="N11" i="9" s="1"/>
  <c r="M3" i="11"/>
  <c r="N3" i="11" s="1"/>
  <c r="S18" i="11"/>
  <c r="X18" i="11"/>
  <c r="V18" i="11"/>
  <c r="V38" i="9"/>
  <c r="X38" i="9"/>
  <c r="S38" i="9"/>
  <c r="L35" i="10"/>
  <c r="M35" i="10" s="1"/>
  <c r="N35" i="10" s="1"/>
  <c r="M37" i="10"/>
  <c r="N37" i="10" s="1"/>
  <c r="V40" i="10"/>
  <c r="S40" i="10"/>
  <c r="X40" i="10"/>
  <c r="L31" i="11"/>
  <c r="K31" i="11"/>
  <c r="M31" i="11" s="1"/>
  <c r="S10" i="9"/>
  <c r="M37" i="9"/>
  <c r="M19" i="9"/>
  <c r="N19" i="9" s="1"/>
  <c r="L24" i="9"/>
  <c r="M24" i="9" s="1"/>
  <c r="N24" i="9" s="1"/>
  <c r="V37" i="9"/>
  <c r="K5" i="10"/>
  <c r="M5" i="10" s="1"/>
  <c r="N5" i="10" s="1"/>
  <c r="L10" i="10"/>
  <c r="M10" i="10" s="1"/>
  <c r="N10" i="10" s="1"/>
  <c r="M23" i="10"/>
  <c r="N23" i="10" s="1"/>
  <c r="L24" i="10"/>
  <c r="M24" i="10" s="1"/>
  <c r="S39" i="10"/>
  <c r="K8" i="11"/>
  <c r="M8" i="11" s="1"/>
  <c r="N8" i="11" s="1"/>
  <c r="L11" i="11"/>
  <c r="M11" i="11" s="1"/>
  <c r="N11" i="11" s="1"/>
  <c r="X23" i="11"/>
  <c r="V23" i="11"/>
  <c r="L30" i="11"/>
  <c r="M30" i="11" s="1"/>
  <c r="L20" i="11"/>
  <c r="K20" i="11"/>
  <c r="M20" i="11" s="1"/>
  <c r="N20" i="11" s="1"/>
  <c r="L27" i="11"/>
  <c r="K27" i="11"/>
  <c r="M27" i="11" s="1"/>
  <c r="L22" i="11"/>
  <c r="M22" i="11" s="1"/>
  <c r="L35" i="11"/>
  <c r="K35" i="11"/>
  <c r="M35" i="11" s="1"/>
  <c r="S42" i="11"/>
  <c r="S44" i="11" s="1"/>
  <c r="S46" i="11" s="1"/>
  <c r="V29" i="11"/>
  <c r="S29" i="11"/>
  <c r="X29" i="11"/>
  <c r="X31" i="11"/>
  <c r="V31" i="11"/>
  <c r="X33" i="11"/>
  <c r="V33" i="11"/>
  <c r="S33" i="11"/>
  <c r="K9" i="11"/>
  <c r="M9" i="11" s="1"/>
  <c r="N9" i="11" s="1"/>
  <c r="K15" i="11"/>
  <c r="M15" i="11" s="1"/>
  <c r="N15" i="11" s="1"/>
  <c r="X21" i="11"/>
  <c r="S21" i="11"/>
  <c r="S31" i="11"/>
  <c r="K6" i="10"/>
  <c r="M6" i="10" s="1"/>
  <c r="N6" i="10" s="1"/>
  <c r="K15" i="10"/>
  <c r="L15" i="10"/>
  <c r="K19" i="10"/>
  <c r="M19" i="10" s="1"/>
  <c r="N19" i="10" s="1"/>
  <c r="K29" i="10"/>
  <c r="L29" i="10"/>
  <c r="K33" i="10"/>
  <c r="M33" i="10" s="1"/>
  <c r="N33" i="10" s="1"/>
  <c r="L25" i="11"/>
  <c r="K25" i="11"/>
  <c r="M25" i="11" s="1"/>
  <c r="K20" i="9"/>
  <c r="M20" i="9" s="1"/>
  <c r="N20" i="9" s="1"/>
  <c r="K35" i="9"/>
  <c r="M35" i="9" s="1"/>
  <c r="L38" i="11"/>
  <c r="K38" i="11"/>
  <c r="M38" i="11" s="1"/>
  <c r="L13" i="11"/>
  <c r="M13" i="11" s="1"/>
  <c r="N13" i="11" s="1"/>
  <c r="L24" i="11"/>
  <c r="K24" i="11"/>
  <c r="M24" i="11" s="1"/>
  <c r="X34" i="11"/>
  <c r="D29" i="12"/>
  <c r="E55" i="12" s="1"/>
  <c r="K4" i="3" s="1"/>
  <c r="M4" i="3" s="1"/>
  <c r="N4" i="3" s="1"/>
  <c r="D28" i="12"/>
  <c r="K27" i="1" s="1"/>
  <c r="M27" i="1" s="1"/>
  <c r="N27" i="1" s="1"/>
  <c r="S32" i="11"/>
  <c r="S35" i="11"/>
  <c r="V48" i="11"/>
  <c r="E78" i="12"/>
  <c r="S34" i="11"/>
  <c r="K29" i="11"/>
  <c r="M29" i="11" s="1"/>
  <c r="X30" i="11"/>
  <c r="V30" i="11"/>
  <c r="K36" i="11"/>
  <c r="M36" i="11" s="1"/>
  <c r="K34" i="11"/>
  <c r="M34" i="11" s="1"/>
  <c r="M16" i="9" l="1"/>
  <c r="N16" i="9" s="1"/>
  <c r="M22" i="3"/>
  <c r="N22" i="3" s="1"/>
  <c r="X17" i="4"/>
  <c r="V17" i="4"/>
  <c r="S17" i="4"/>
  <c r="S3" i="1"/>
  <c r="V3" i="1"/>
  <c r="X3" i="1"/>
  <c r="X3" i="10"/>
  <c r="S3" i="10"/>
  <c r="V3" i="10"/>
  <c r="S24" i="7"/>
  <c r="V24" i="7"/>
  <c r="X24" i="7"/>
  <c r="V18" i="1"/>
  <c r="S18" i="1"/>
  <c r="X18" i="1"/>
  <c r="X10" i="1"/>
  <c r="V10" i="1"/>
  <c r="S10" i="1"/>
  <c r="X5" i="11"/>
  <c r="V5" i="11"/>
  <c r="S5" i="11"/>
  <c r="S2" i="1"/>
  <c r="X2" i="1"/>
  <c r="V2" i="1"/>
  <c r="M27" i="2"/>
  <c r="N27" i="2" s="1"/>
  <c r="M21" i="7"/>
  <c r="N21" i="7" s="1"/>
  <c r="M12" i="3"/>
  <c r="N12" i="3" s="1"/>
  <c r="M25" i="3"/>
  <c r="N25" i="3" s="1"/>
  <c r="M23" i="3"/>
  <c r="N23" i="3" s="1"/>
  <c r="M11" i="3"/>
  <c r="N11" i="3" s="1"/>
  <c r="M24" i="2"/>
  <c r="N24" i="2" s="1"/>
  <c r="S24" i="2" s="1"/>
  <c r="M13" i="3"/>
  <c r="N13" i="3" s="1"/>
  <c r="X2" i="2"/>
  <c r="S2" i="2"/>
  <c r="V2" i="2"/>
  <c r="S6" i="2"/>
  <c r="V6" i="2"/>
  <c r="X6" i="2"/>
  <c r="V16" i="11"/>
  <c r="X16" i="11"/>
  <c r="S16" i="11"/>
  <c r="V36" i="10"/>
  <c r="X36" i="10"/>
  <c r="S36" i="10"/>
  <c r="V4" i="6"/>
  <c r="S4" i="6"/>
  <c r="X4" i="6"/>
  <c r="S11" i="4"/>
  <c r="X11" i="4"/>
  <c r="V11" i="4"/>
  <c r="V32" i="7"/>
  <c r="X32" i="7"/>
  <c r="S32" i="7"/>
  <c r="X27" i="7"/>
  <c r="V27" i="7"/>
  <c r="S27" i="7"/>
  <c r="X20" i="7"/>
  <c r="S20" i="7"/>
  <c r="V20" i="7"/>
  <c r="V31" i="5"/>
  <c r="S31" i="5"/>
  <c r="X31" i="5"/>
  <c r="V7" i="6"/>
  <c r="S7" i="6"/>
  <c r="X7" i="6"/>
  <c r="V27" i="5"/>
  <c r="X27" i="5"/>
  <c r="S27" i="5"/>
  <c r="X24" i="4"/>
  <c r="S24" i="4"/>
  <c r="V24" i="4"/>
  <c r="S30" i="10"/>
  <c r="V30" i="10"/>
  <c r="X30" i="10"/>
  <c r="K30" i="5"/>
  <c r="M30" i="5" s="1"/>
  <c r="N30" i="5" s="1"/>
  <c r="K33" i="5"/>
  <c r="M33" i="5" s="1"/>
  <c r="N33" i="5" s="1"/>
  <c r="K23" i="6"/>
  <c r="M23" i="6" s="1"/>
  <c r="N23" i="6" s="1"/>
  <c r="M32" i="3"/>
  <c r="N32" i="3" s="1"/>
  <c r="M15" i="3"/>
  <c r="N15" i="3" s="1"/>
  <c r="M33" i="3"/>
  <c r="N33" i="3" s="1"/>
  <c r="S36" i="3"/>
  <c r="V36" i="3"/>
  <c r="X36" i="3"/>
  <c r="V34" i="3"/>
  <c r="X34" i="3"/>
  <c r="S34" i="3"/>
  <c r="V27" i="3"/>
  <c r="S27" i="3"/>
  <c r="X27" i="3"/>
  <c r="V25" i="3"/>
  <c r="S25" i="3"/>
  <c r="X25" i="3"/>
  <c r="X16" i="3"/>
  <c r="V16" i="3"/>
  <c r="S16" i="3"/>
  <c r="X14" i="3"/>
  <c r="S14" i="3"/>
  <c r="V14" i="3"/>
  <c r="X26" i="2"/>
  <c r="V26" i="2"/>
  <c r="S26" i="2"/>
  <c r="S25" i="2"/>
  <c r="V25" i="2"/>
  <c r="X25" i="2"/>
  <c r="X24" i="2"/>
  <c r="V24" i="2"/>
  <c r="M13" i="5"/>
  <c r="N13" i="5" s="1"/>
  <c r="M38" i="10"/>
  <c r="M20" i="8"/>
  <c r="N20" i="8" s="1"/>
  <c r="X35" i="2"/>
  <c r="S35" i="2"/>
  <c r="V35" i="2"/>
  <c r="S7" i="11"/>
  <c r="X7" i="11"/>
  <c r="V7" i="11"/>
  <c r="V19" i="1"/>
  <c r="X19" i="1"/>
  <c r="S19" i="1"/>
  <c r="X29" i="2"/>
  <c r="S29" i="2"/>
  <c r="V29" i="2"/>
  <c r="S12" i="1"/>
  <c r="X12" i="1"/>
  <c r="V12" i="1"/>
  <c r="V27" i="2"/>
  <c r="S27" i="2"/>
  <c r="X27" i="2"/>
  <c r="V2" i="3"/>
  <c r="X2" i="3"/>
  <c r="S2" i="3"/>
  <c r="V4" i="4"/>
  <c r="X4" i="4"/>
  <c r="S4" i="4"/>
  <c r="S31" i="3"/>
  <c r="X31" i="3"/>
  <c r="V31" i="3"/>
  <c r="S20" i="3"/>
  <c r="X20" i="3"/>
  <c r="V20" i="3"/>
  <c r="X7" i="2"/>
  <c r="V7" i="2"/>
  <c r="V7" i="10"/>
  <c r="X7" i="10"/>
  <c r="S7" i="10"/>
  <c r="V14" i="9"/>
  <c r="X14" i="9"/>
  <c r="V4" i="8"/>
  <c r="S4" i="8"/>
  <c r="X4" i="8"/>
  <c r="V7" i="4"/>
  <c r="S7" i="4"/>
  <c r="M9" i="7"/>
  <c r="N9" i="7" s="1"/>
  <c r="M3" i="6"/>
  <c r="N3" i="6" s="1"/>
  <c r="M2" i="11"/>
  <c r="N2" i="11" s="1"/>
  <c r="M22" i="8"/>
  <c r="N22" i="8" s="1"/>
  <c r="M4" i="10"/>
  <c r="N4" i="10" s="1"/>
  <c r="M2" i="5"/>
  <c r="N2" i="5" s="1"/>
  <c r="M5" i="8"/>
  <c r="N5" i="8" s="1"/>
  <c r="M25" i="10"/>
  <c r="N25" i="10" s="1"/>
  <c r="M21" i="8"/>
  <c r="N21" i="8" s="1"/>
  <c r="M40" i="11"/>
  <c r="S33" i="2"/>
  <c r="V33" i="2"/>
  <c r="X33" i="2"/>
  <c r="S7" i="1"/>
  <c r="X7" i="1"/>
  <c r="V7" i="1"/>
  <c r="X6" i="1"/>
  <c r="V6" i="1"/>
  <c r="S6" i="1"/>
  <c r="X15" i="1"/>
  <c r="V15" i="1"/>
  <c r="S15" i="1"/>
  <c r="V13" i="1"/>
  <c r="S13" i="1"/>
  <c r="X13" i="1"/>
  <c r="V12" i="3"/>
  <c r="S12" i="3"/>
  <c r="X12" i="3"/>
  <c r="X5" i="4"/>
  <c r="V5" i="4"/>
  <c r="S5" i="4"/>
  <c r="V16" i="9"/>
  <c r="S16" i="9"/>
  <c r="X16" i="9"/>
  <c r="S6" i="11"/>
  <c r="V6" i="11"/>
  <c r="X6" i="11"/>
  <c r="X13" i="8"/>
  <c r="V13" i="8"/>
  <c r="S13" i="8"/>
  <c r="X4" i="3"/>
  <c r="V4" i="3"/>
  <c r="S4" i="3"/>
  <c r="V11" i="11"/>
  <c r="S11" i="11"/>
  <c r="X11" i="11"/>
  <c r="S35" i="10"/>
  <c r="V35" i="10"/>
  <c r="X35" i="10"/>
  <c r="X2" i="7"/>
  <c r="V2" i="7"/>
  <c r="S2" i="7"/>
  <c r="S34" i="10"/>
  <c r="X34" i="10"/>
  <c r="V34" i="10"/>
  <c r="N24" i="10"/>
  <c r="X33" i="8"/>
  <c r="V33" i="8"/>
  <c r="S33" i="8"/>
  <c r="X23" i="4"/>
  <c r="V23" i="4"/>
  <c r="S23" i="4"/>
  <c r="V27" i="1"/>
  <c r="X27" i="1"/>
  <c r="S27" i="1"/>
  <c r="V30" i="2"/>
  <c r="S30" i="2"/>
  <c r="X30" i="2"/>
  <c r="X9" i="4"/>
  <c r="V9" i="4"/>
  <c r="S9" i="4"/>
  <c r="X23" i="5"/>
  <c r="V23" i="5"/>
  <c r="S23" i="5"/>
  <c r="V21" i="3"/>
  <c r="S21" i="3"/>
  <c r="X21" i="3"/>
  <c r="X26" i="3"/>
  <c r="V26" i="3"/>
  <c r="S26" i="3"/>
  <c r="X21" i="1"/>
  <c r="V21" i="1"/>
  <c r="S21" i="1"/>
  <c r="K10" i="3"/>
  <c r="M10" i="3" s="1"/>
  <c r="N10" i="3" s="1"/>
  <c r="K31" i="1"/>
  <c r="M31" i="1" s="1"/>
  <c r="N31" i="1" s="1"/>
  <c r="M33" i="9"/>
  <c r="K24" i="6"/>
  <c r="M24" i="6" s="1"/>
  <c r="N24" i="6" s="1"/>
  <c r="V10" i="5"/>
  <c r="X10" i="5"/>
  <c r="S10" i="5"/>
  <c r="V30" i="7"/>
  <c r="X30" i="7"/>
  <c r="S30" i="7"/>
  <c r="K21" i="5"/>
  <c r="M21" i="5" s="1"/>
  <c r="N21" i="5" s="1"/>
  <c r="V18" i="3"/>
  <c r="S18" i="3"/>
  <c r="X18" i="3"/>
  <c r="V15" i="5"/>
  <c r="S15" i="5"/>
  <c r="X15" i="5"/>
  <c r="V37" i="1"/>
  <c r="S37" i="1"/>
  <c r="X37" i="1"/>
  <c r="S28" i="2"/>
  <c r="X28" i="2"/>
  <c r="V28" i="2"/>
  <c r="X19" i="3"/>
  <c r="V19" i="3"/>
  <c r="S19" i="3"/>
  <c r="V24" i="3"/>
  <c r="S24" i="3"/>
  <c r="X24" i="3"/>
  <c r="K22" i="1"/>
  <c r="M22" i="1" s="1"/>
  <c r="V15" i="8"/>
  <c r="S15" i="8"/>
  <c r="X15" i="8"/>
  <c r="X30" i="4"/>
  <c r="V30" i="4"/>
  <c r="S30" i="4"/>
  <c r="S28" i="6"/>
  <c r="X28" i="6"/>
  <c r="V28" i="6"/>
  <c r="S19" i="4"/>
  <c r="X19" i="4"/>
  <c r="V19" i="4"/>
  <c r="S26" i="8"/>
  <c r="V26" i="8"/>
  <c r="X26" i="8"/>
  <c r="K25" i="5"/>
  <c r="M25" i="5" s="1"/>
  <c r="N25" i="5" s="1"/>
  <c r="M26" i="7"/>
  <c r="N26" i="7" s="1"/>
  <c r="S25" i="7"/>
  <c r="V25" i="7"/>
  <c r="X25" i="7"/>
  <c r="K33" i="1"/>
  <c r="M33" i="1" s="1"/>
  <c r="N33" i="1" s="1"/>
  <c r="K21" i="2"/>
  <c r="M21" i="2" s="1"/>
  <c r="N21" i="2" s="1"/>
  <c r="K9" i="2"/>
  <c r="M9" i="2" s="1"/>
  <c r="N9" i="2" s="1"/>
  <c r="V22" i="3"/>
  <c r="X22" i="3"/>
  <c r="S22" i="3"/>
  <c r="V13" i="11"/>
  <c r="S13" i="11"/>
  <c r="X13" i="11"/>
  <c r="X31" i="10"/>
  <c r="V31" i="10"/>
  <c r="S31" i="10"/>
  <c r="X24" i="9"/>
  <c r="V24" i="9"/>
  <c r="S24" i="9"/>
  <c r="M40" i="6"/>
  <c r="M10" i="8"/>
  <c r="N10" i="8" s="1"/>
  <c r="X11" i="5"/>
  <c r="V11" i="5"/>
  <c r="S11" i="5"/>
  <c r="X18" i="7"/>
  <c r="V18" i="7"/>
  <c r="S18" i="7"/>
  <c r="X13" i="3"/>
  <c r="V13" i="3"/>
  <c r="S13" i="3"/>
  <c r="S32" i="2"/>
  <c r="V32" i="2"/>
  <c r="X32" i="2"/>
  <c r="K24" i="1"/>
  <c r="M24" i="1" s="1"/>
  <c r="N24" i="1" s="1"/>
  <c r="K19" i="2"/>
  <c r="M19" i="2" s="1"/>
  <c r="N19" i="2" s="1"/>
  <c r="V5" i="5"/>
  <c r="X5" i="5"/>
  <c r="S5" i="5"/>
  <c r="S24" i="8"/>
  <c r="V24" i="8"/>
  <c r="X24" i="8"/>
  <c r="V9" i="8"/>
  <c r="X9" i="8"/>
  <c r="S9" i="8"/>
  <c r="K19" i="6"/>
  <c r="M19" i="6" s="1"/>
  <c r="N19" i="6" s="1"/>
  <c r="V3" i="6"/>
  <c r="S18" i="6"/>
  <c r="X18" i="6"/>
  <c r="V18" i="6"/>
  <c r="S11" i="3"/>
  <c r="X11" i="3"/>
  <c r="V11" i="3"/>
  <c r="S11" i="1"/>
  <c r="X11" i="1"/>
  <c r="V11" i="1"/>
  <c r="S8" i="11"/>
  <c r="X8" i="11"/>
  <c r="V8" i="11"/>
  <c r="V19" i="10"/>
  <c r="S19" i="10"/>
  <c r="X19" i="10"/>
  <c r="X23" i="10"/>
  <c r="V23" i="10"/>
  <c r="S23" i="10"/>
  <c r="S7" i="9"/>
  <c r="V7" i="9"/>
  <c r="X7" i="9"/>
  <c r="V10" i="10"/>
  <c r="S10" i="10"/>
  <c r="X10" i="10"/>
  <c r="S12" i="9"/>
  <c r="X12" i="9"/>
  <c r="V12" i="9"/>
  <c r="V11" i="10"/>
  <c r="S11" i="10"/>
  <c r="X11" i="10"/>
  <c r="X28" i="9"/>
  <c r="V28" i="9"/>
  <c r="S28" i="9"/>
  <c r="S6" i="3"/>
  <c r="V6" i="3"/>
  <c r="X6" i="3"/>
  <c r="S21" i="7"/>
  <c r="V21" i="7"/>
  <c r="X21" i="7"/>
  <c r="S29" i="3"/>
  <c r="X29" i="3"/>
  <c r="V29" i="3"/>
  <c r="X32" i="1"/>
  <c r="V32" i="1"/>
  <c r="S32" i="1"/>
  <c r="K9" i="3"/>
  <c r="M9" i="3" s="1"/>
  <c r="N9" i="3" s="1"/>
  <c r="X18" i="4"/>
  <c r="V18" i="4"/>
  <c r="S18" i="4"/>
  <c r="M2" i="10"/>
  <c r="N2" i="10" s="1"/>
  <c r="V18" i="10"/>
  <c r="X18" i="10"/>
  <c r="S18" i="10"/>
  <c r="X34" i="6"/>
  <c r="V34" i="6"/>
  <c r="S34" i="6"/>
  <c r="X7" i="8"/>
  <c r="V7" i="8"/>
  <c r="S7" i="8"/>
  <c r="K13" i="6"/>
  <c r="M13" i="6" s="1"/>
  <c r="N13" i="6" s="1"/>
  <c r="M17" i="7"/>
  <c r="N17" i="7" s="1"/>
  <c r="S6" i="6"/>
  <c r="X6" i="6"/>
  <c r="V6" i="6"/>
  <c r="K11" i="6"/>
  <c r="M11" i="6" s="1"/>
  <c r="N11" i="6" s="1"/>
  <c r="K20" i="6"/>
  <c r="M20" i="6" s="1"/>
  <c r="N20" i="6" s="1"/>
  <c r="X34" i="2"/>
  <c r="V34" i="2"/>
  <c r="S34" i="2"/>
  <c r="S17" i="1"/>
  <c r="X17" i="1"/>
  <c r="V17" i="1"/>
  <c r="M35" i="3"/>
  <c r="M31" i="2"/>
  <c r="N31" i="2" s="1"/>
  <c r="V23" i="6"/>
  <c r="X23" i="6"/>
  <c r="S23" i="6"/>
  <c r="S14" i="11"/>
  <c r="X14" i="11"/>
  <c r="V14" i="11"/>
  <c r="X6" i="10"/>
  <c r="V6" i="10"/>
  <c r="S6" i="10"/>
  <c r="K7" i="7"/>
  <c r="M7" i="7" s="1"/>
  <c r="N7" i="7" s="1"/>
  <c r="X22" i="10"/>
  <c r="V22" i="10"/>
  <c r="S22" i="10"/>
  <c r="M2" i="9"/>
  <c r="N2" i="9" s="1"/>
  <c r="X20" i="9"/>
  <c r="V20" i="9"/>
  <c r="S20" i="9"/>
  <c r="X5" i="10"/>
  <c r="S5" i="10"/>
  <c r="V5" i="10"/>
  <c r="M31" i="7"/>
  <c r="N31" i="7" s="1"/>
  <c r="K13" i="2"/>
  <c r="M13" i="2" s="1"/>
  <c r="N13" i="2" s="1"/>
  <c r="K22" i="2"/>
  <c r="M22" i="2" s="1"/>
  <c r="N22" i="2" s="1"/>
  <c r="K10" i="2"/>
  <c r="M10" i="2" s="1"/>
  <c r="N10" i="2" s="1"/>
  <c r="K7" i="3"/>
  <c r="M7" i="3" s="1"/>
  <c r="N7" i="3" s="1"/>
  <c r="K36" i="1"/>
  <c r="M36" i="1" s="1"/>
  <c r="N36" i="1" s="1"/>
  <c r="K5" i="3"/>
  <c r="M5" i="3" s="1"/>
  <c r="N5" i="3" s="1"/>
  <c r="K28" i="1"/>
  <c r="M28" i="1" s="1"/>
  <c r="N28" i="1" s="1"/>
  <c r="K8" i="3"/>
  <c r="M8" i="3" s="1"/>
  <c r="N8" i="3" s="1"/>
  <c r="K34" i="1"/>
  <c r="M34" i="1" s="1"/>
  <c r="N34" i="1" s="1"/>
  <c r="K17" i="2"/>
  <c r="M17" i="2" s="1"/>
  <c r="N17" i="2" s="1"/>
  <c r="K20" i="2"/>
  <c r="M20" i="2" s="1"/>
  <c r="N20" i="2" s="1"/>
  <c r="K15" i="2"/>
  <c r="M15" i="2" s="1"/>
  <c r="N15" i="2" s="1"/>
  <c r="K35" i="1"/>
  <c r="M35" i="1" s="1"/>
  <c r="N35" i="1" s="1"/>
  <c r="K26" i="1"/>
  <c r="M26" i="1" s="1"/>
  <c r="N26" i="1" s="1"/>
  <c r="S3" i="11"/>
  <c r="V3" i="11"/>
  <c r="X3" i="11"/>
  <c r="M3" i="9"/>
  <c r="N3" i="9" s="1"/>
  <c r="S22" i="9"/>
  <c r="V22" i="9"/>
  <c r="X22" i="9"/>
  <c r="X18" i="9"/>
  <c r="V18" i="9"/>
  <c r="S18" i="9"/>
  <c r="V28" i="3"/>
  <c r="X28" i="3"/>
  <c r="S28" i="3"/>
  <c r="V22" i="7"/>
  <c r="X22" i="7"/>
  <c r="S22" i="7"/>
  <c r="S31" i="4"/>
  <c r="X31" i="4"/>
  <c r="V31" i="4"/>
  <c r="X33" i="7"/>
  <c r="V33" i="7"/>
  <c r="S33" i="7"/>
  <c r="X14" i="5"/>
  <c r="V14" i="5"/>
  <c r="S14" i="5"/>
  <c r="X16" i="1"/>
  <c r="V16" i="1"/>
  <c r="S16" i="1"/>
  <c r="K23" i="1"/>
  <c r="M23" i="1" s="1"/>
  <c r="N23" i="1" s="1"/>
  <c r="V8" i="4"/>
  <c r="S8" i="4"/>
  <c r="X8" i="4"/>
  <c r="V12" i="4"/>
  <c r="S12" i="4"/>
  <c r="X12" i="4"/>
  <c r="V14" i="4"/>
  <c r="S14" i="4"/>
  <c r="X14" i="4"/>
  <c r="V9" i="11"/>
  <c r="S9" i="11"/>
  <c r="X9" i="11"/>
  <c r="V32" i="9"/>
  <c r="S32" i="9"/>
  <c r="X32" i="9"/>
  <c r="M29" i="10"/>
  <c r="N29" i="10" s="1"/>
  <c r="X2" i="8"/>
  <c r="V2" i="8"/>
  <c r="S2" i="8"/>
  <c r="X23" i="7"/>
  <c r="V23" i="7"/>
  <c r="S23" i="7"/>
  <c r="K3" i="7"/>
  <c r="M3" i="7" s="1"/>
  <c r="N3" i="7" s="1"/>
  <c r="K16" i="6"/>
  <c r="M16" i="6" s="1"/>
  <c r="N16" i="6" s="1"/>
  <c r="K8" i="7"/>
  <c r="M8" i="7" s="1"/>
  <c r="N8" i="7" s="1"/>
  <c r="K4" i="7"/>
  <c r="M4" i="7" s="1"/>
  <c r="N4" i="7" s="1"/>
  <c r="K15" i="6"/>
  <c r="M15" i="6" s="1"/>
  <c r="N15" i="6" s="1"/>
  <c r="K21" i="6"/>
  <c r="M21" i="6" s="1"/>
  <c r="N21" i="6" s="1"/>
  <c r="K28" i="5"/>
  <c r="M28" i="5" s="1"/>
  <c r="N28" i="5" s="1"/>
  <c r="K20" i="5"/>
  <c r="M20" i="5" s="1"/>
  <c r="K5" i="7"/>
  <c r="M5" i="7" s="1"/>
  <c r="N5" i="7" s="1"/>
  <c r="K26" i="5"/>
  <c r="M26" i="5" s="1"/>
  <c r="N26" i="5" s="1"/>
  <c r="K32" i="5"/>
  <c r="M32" i="5" s="1"/>
  <c r="N32" i="5" s="1"/>
  <c r="K29" i="5"/>
  <c r="M29" i="5" s="1"/>
  <c r="N29" i="5" s="1"/>
  <c r="K12" i="6"/>
  <c r="M12" i="6" s="1"/>
  <c r="N12" i="6" s="1"/>
  <c r="K24" i="5"/>
  <c r="M24" i="5" s="1"/>
  <c r="N24" i="5" s="1"/>
  <c r="M15" i="10"/>
  <c r="N15" i="10" s="1"/>
  <c r="X11" i="7"/>
  <c r="S11" i="7"/>
  <c r="V11" i="7"/>
  <c r="V20" i="11"/>
  <c r="S20" i="11"/>
  <c r="X20" i="11"/>
  <c r="X8" i="6"/>
  <c r="V8" i="6"/>
  <c r="S8" i="6"/>
  <c r="S16" i="10"/>
  <c r="V16" i="10"/>
  <c r="X16" i="10"/>
  <c r="V12" i="7"/>
  <c r="X12" i="7"/>
  <c r="S12" i="7"/>
  <c r="X26" i="10"/>
  <c r="V26" i="10"/>
  <c r="S26" i="10"/>
  <c r="S25" i="6"/>
  <c r="X25" i="6"/>
  <c r="V25" i="6"/>
  <c r="K8" i="2"/>
  <c r="M8" i="2" s="1"/>
  <c r="N8" i="2" s="1"/>
  <c r="K23" i="2"/>
  <c r="M23" i="2" s="1"/>
  <c r="N23" i="2" s="1"/>
  <c r="K2" i="4"/>
  <c r="M2" i="4" s="1"/>
  <c r="N2" i="4" s="1"/>
  <c r="K16" i="2"/>
  <c r="M16" i="2" s="1"/>
  <c r="N16" i="2" s="1"/>
  <c r="K11" i="2"/>
  <c r="M11" i="2" s="1"/>
  <c r="N11" i="2" s="1"/>
  <c r="K30" i="1"/>
  <c r="M30" i="1" s="1"/>
  <c r="N30" i="1" s="1"/>
  <c r="X11" i="9"/>
  <c r="V11" i="9"/>
  <c r="S11" i="9"/>
  <c r="S9" i="10"/>
  <c r="X9" i="10"/>
  <c r="V9" i="10"/>
  <c r="V28" i="8"/>
  <c r="X28" i="8"/>
  <c r="S28" i="8"/>
  <c r="X9" i="9"/>
  <c r="V9" i="9"/>
  <c r="S9" i="9"/>
  <c r="S2" i="6"/>
  <c r="V2" i="6"/>
  <c r="K3" i="3"/>
  <c r="M3" i="3" s="1"/>
  <c r="N3" i="3" s="1"/>
  <c r="K17" i="6"/>
  <c r="M17" i="6" s="1"/>
  <c r="N17" i="6" s="1"/>
  <c r="K22" i="5"/>
  <c r="M22" i="5" s="1"/>
  <c r="N22" i="5" s="1"/>
  <c r="M7" i="5"/>
  <c r="N7" i="5" s="1"/>
  <c r="X21" i="4"/>
  <c r="V21" i="4"/>
  <c r="S21" i="4"/>
  <c r="K18" i="2"/>
  <c r="M18" i="2" s="1"/>
  <c r="N18" i="2" s="1"/>
  <c r="K14" i="2"/>
  <c r="M14" i="2" s="1"/>
  <c r="N14" i="2" s="1"/>
  <c r="S3" i="5"/>
  <c r="X3" i="5"/>
  <c r="V3" i="5"/>
  <c r="S30" i="3"/>
  <c r="V30" i="3"/>
  <c r="X30" i="3"/>
  <c r="K29" i="1"/>
  <c r="M29" i="1" s="1"/>
  <c r="N29" i="1" s="1"/>
  <c r="M27" i="9"/>
  <c r="N27" i="9" s="1"/>
  <c r="X5" i="6"/>
  <c r="V5" i="6"/>
  <c r="S5" i="6"/>
  <c r="S17" i="10"/>
  <c r="X17" i="10"/>
  <c r="V17" i="10"/>
  <c r="S33" i="10"/>
  <c r="V33" i="10"/>
  <c r="X33" i="10"/>
  <c r="S15" i="11"/>
  <c r="V15" i="11"/>
  <c r="X15" i="11"/>
  <c r="X19" i="9"/>
  <c r="V19" i="9"/>
  <c r="S19" i="9"/>
  <c r="X37" i="10"/>
  <c r="V37" i="10"/>
  <c r="S37" i="10"/>
  <c r="S21" i="9"/>
  <c r="V21" i="9"/>
  <c r="X21" i="9"/>
  <c r="M37" i="5"/>
  <c r="M28" i="7"/>
  <c r="N28" i="7" s="1"/>
  <c r="M10" i="7"/>
  <c r="N10" i="7" s="1"/>
  <c r="M25" i="8"/>
  <c r="N25" i="8" s="1"/>
  <c r="X16" i="4"/>
  <c r="V16" i="4"/>
  <c r="S16" i="4"/>
  <c r="X23" i="3"/>
  <c r="S23" i="3"/>
  <c r="V23" i="3"/>
  <c r="M28" i="4"/>
  <c r="N28" i="4" s="1"/>
  <c r="M6" i="4"/>
  <c r="N6" i="4" s="1"/>
  <c r="S17" i="3"/>
  <c r="X17" i="3"/>
  <c r="V17" i="3"/>
  <c r="K25" i="1"/>
  <c r="M25" i="1" s="1"/>
  <c r="N25" i="1" s="1"/>
  <c r="K12" i="2"/>
  <c r="M12" i="2" s="1"/>
  <c r="N12" i="2" s="1"/>
  <c r="V9" i="7" l="1"/>
  <c r="S9" i="7"/>
  <c r="X9" i="7"/>
  <c r="X3" i="6"/>
  <c r="S3" i="6"/>
  <c r="V30" i="5"/>
  <c r="X30" i="5"/>
  <c r="S30" i="5"/>
  <c r="S13" i="5"/>
  <c r="V13" i="5"/>
  <c r="X13" i="5"/>
  <c r="S33" i="5"/>
  <c r="X33" i="5"/>
  <c r="V33" i="5"/>
  <c r="V20" i="8"/>
  <c r="X20" i="8"/>
  <c r="S20" i="8"/>
  <c r="S32" i="3"/>
  <c r="V32" i="3"/>
  <c r="X32" i="3"/>
  <c r="S15" i="3"/>
  <c r="V15" i="3"/>
  <c r="X15" i="3"/>
  <c r="X33" i="3"/>
  <c r="S33" i="3"/>
  <c r="V33" i="3"/>
  <c r="V25" i="10"/>
  <c r="S25" i="10"/>
  <c r="X25" i="10"/>
  <c r="S2" i="11"/>
  <c r="V2" i="11"/>
  <c r="X2" i="11"/>
  <c r="S22" i="8"/>
  <c r="X22" i="8"/>
  <c r="V22" i="8"/>
  <c r="X4" i="10"/>
  <c r="V4" i="10"/>
  <c r="S4" i="10"/>
  <c r="S2" i="5"/>
  <c r="X2" i="5"/>
  <c r="V2" i="5"/>
  <c r="S5" i="8"/>
  <c r="V5" i="8"/>
  <c r="X5" i="8"/>
  <c r="X21" i="8"/>
  <c r="V21" i="8"/>
  <c r="S21" i="8"/>
  <c r="N35" i="3"/>
  <c r="M41" i="3"/>
  <c r="S14" i="2"/>
  <c r="X14" i="2"/>
  <c r="V14" i="2"/>
  <c r="V25" i="8"/>
  <c r="X25" i="8"/>
  <c r="S25" i="8"/>
  <c r="X15" i="6"/>
  <c r="V15" i="6"/>
  <c r="S15" i="6"/>
  <c r="S23" i="1"/>
  <c r="X23" i="1"/>
  <c r="V23" i="1"/>
  <c r="V7" i="7"/>
  <c r="S7" i="7"/>
  <c r="X11" i="6"/>
  <c r="V11" i="6"/>
  <c r="S11" i="6"/>
  <c r="S10" i="7"/>
  <c r="X10" i="7"/>
  <c r="V10" i="7"/>
  <c r="V27" i="9"/>
  <c r="S27" i="9"/>
  <c r="X27" i="9"/>
  <c r="S24" i="5"/>
  <c r="X24" i="5"/>
  <c r="V24" i="5"/>
  <c r="S4" i="7"/>
  <c r="X4" i="7"/>
  <c r="V4" i="7"/>
  <c r="S3" i="9"/>
  <c r="X3" i="9"/>
  <c r="V3" i="9"/>
  <c r="X8" i="3"/>
  <c r="S8" i="3"/>
  <c r="V8" i="3"/>
  <c r="X35" i="3"/>
  <c r="V35" i="3"/>
  <c r="S35" i="3"/>
  <c r="M40" i="4"/>
  <c r="X21" i="2"/>
  <c r="S21" i="2"/>
  <c r="V21" i="2"/>
  <c r="X31" i="1"/>
  <c r="V31" i="1"/>
  <c r="S31" i="1"/>
  <c r="S33" i="1"/>
  <c r="V33" i="1"/>
  <c r="X33" i="1"/>
  <c r="S21" i="5"/>
  <c r="X21" i="5"/>
  <c r="V21" i="5"/>
  <c r="S10" i="3"/>
  <c r="X10" i="3"/>
  <c r="V10" i="3"/>
  <c r="X29" i="5"/>
  <c r="V29" i="5"/>
  <c r="S29" i="5"/>
  <c r="S5" i="3"/>
  <c r="V5" i="3"/>
  <c r="X5" i="3"/>
  <c r="N22" i="1"/>
  <c r="M44" i="1"/>
  <c r="X30" i="1"/>
  <c r="V30" i="1"/>
  <c r="S30" i="1"/>
  <c r="V3" i="7"/>
  <c r="S3" i="7"/>
  <c r="X3" i="7"/>
  <c r="X29" i="10"/>
  <c r="V29" i="10"/>
  <c r="S29" i="10"/>
  <c r="X36" i="1"/>
  <c r="V36" i="1"/>
  <c r="S36" i="1"/>
  <c r="S17" i="7"/>
  <c r="V17" i="7"/>
  <c r="X17" i="7"/>
  <c r="X12" i="6"/>
  <c r="V12" i="6"/>
  <c r="S12" i="6"/>
  <c r="X11" i="2"/>
  <c r="V11" i="2"/>
  <c r="S11" i="2"/>
  <c r="V26" i="5"/>
  <c r="X26" i="5"/>
  <c r="S26" i="5"/>
  <c r="X26" i="1"/>
  <c r="V26" i="1"/>
  <c r="S26" i="1"/>
  <c r="X7" i="3"/>
  <c r="V7" i="3"/>
  <c r="S7" i="3"/>
  <c r="S13" i="6"/>
  <c r="X13" i="6"/>
  <c r="V13" i="6"/>
  <c r="S2" i="10"/>
  <c r="V2" i="10"/>
  <c r="X2" i="10"/>
  <c r="V10" i="8"/>
  <c r="X10" i="8"/>
  <c r="S10" i="8"/>
  <c r="V29" i="1"/>
  <c r="S29" i="1"/>
  <c r="X29" i="1"/>
  <c r="S24" i="1"/>
  <c r="X24" i="1"/>
  <c r="V24" i="1"/>
  <c r="X28" i="4"/>
  <c r="S28" i="4"/>
  <c r="V28" i="4"/>
  <c r="N40" i="4"/>
  <c r="X16" i="6"/>
  <c r="S16" i="6"/>
  <c r="V16" i="6"/>
  <c r="X7" i="5"/>
  <c r="V7" i="5"/>
  <c r="S7" i="5"/>
  <c r="X32" i="5"/>
  <c r="V32" i="5"/>
  <c r="S32" i="5"/>
  <c r="V22" i="5"/>
  <c r="S22" i="5"/>
  <c r="X22" i="5"/>
  <c r="X16" i="2"/>
  <c r="V16" i="2"/>
  <c r="S16" i="2"/>
  <c r="S17" i="6"/>
  <c r="V17" i="6"/>
  <c r="X17" i="6"/>
  <c r="X2" i="4"/>
  <c r="V2" i="4"/>
  <c r="S2" i="4"/>
  <c r="V5" i="7"/>
  <c r="S5" i="7"/>
  <c r="X5" i="7"/>
  <c r="V35" i="1"/>
  <c r="S35" i="1"/>
  <c r="X35" i="1"/>
  <c r="V10" i="2"/>
  <c r="X10" i="2"/>
  <c r="S10" i="2"/>
  <c r="X2" i="9"/>
  <c r="V2" i="9"/>
  <c r="S2" i="9"/>
  <c r="M40" i="2"/>
  <c r="X26" i="7"/>
  <c r="V26" i="7"/>
  <c r="S26" i="7"/>
  <c r="M42" i="10"/>
  <c r="V8" i="7"/>
  <c r="S8" i="7"/>
  <c r="X8" i="7"/>
  <c r="X3" i="3"/>
  <c r="S3" i="3"/>
  <c r="V3" i="3"/>
  <c r="X23" i="2"/>
  <c r="V23" i="2"/>
  <c r="S23" i="2"/>
  <c r="N20" i="5"/>
  <c r="M39" i="5"/>
  <c r="S15" i="2"/>
  <c r="V15" i="2"/>
  <c r="X15" i="2"/>
  <c r="X22" i="2"/>
  <c r="V22" i="2"/>
  <c r="S22" i="2"/>
  <c r="M40" i="9"/>
  <c r="S25" i="5"/>
  <c r="X25" i="5"/>
  <c r="V25" i="5"/>
  <c r="V24" i="10"/>
  <c r="S24" i="10"/>
  <c r="X24" i="10"/>
  <c r="X21" i="6"/>
  <c r="V21" i="6"/>
  <c r="S21" i="6"/>
  <c r="S6" i="4"/>
  <c r="X6" i="4"/>
  <c r="V6" i="4"/>
  <c r="X28" i="7"/>
  <c r="V28" i="7"/>
  <c r="S28" i="7"/>
  <c r="X28" i="1"/>
  <c r="V28" i="1"/>
  <c r="S28" i="1"/>
  <c r="X12" i="2"/>
  <c r="V12" i="2"/>
  <c r="S12" i="2"/>
  <c r="V25" i="1"/>
  <c r="S25" i="1"/>
  <c r="X25" i="1"/>
  <c r="S8" i="2"/>
  <c r="V8" i="2"/>
  <c r="X8" i="2"/>
  <c r="V28" i="5"/>
  <c r="S28" i="5"/>
  <c r="X28" i="5"/>
  <c r="V20" i="2"/>
  <c r="S20" i="2"/>
  <c r="X20" i="2"/>
  <c r="X13" i="2"/>
  <c r="V13" i="2"/>
  <c r="S13" i="2"/>
  <c r="X17" i="2"/>
  <c r="V17" i="2"/>
  <c r="S17" i="2"/>
  <c r="V31" i="7"/>
  <c r="S31" i="7"/>
  <c r="X31" i="7"/>
  <c r="X20" i="6"/>
  <c r="V20" i="6"/>
  <c r="S20" i="6"/>
  <c r="M40" i="8"/>
  <c r="S24" i="6"/>
  <c r="V24" i="6"/>
  <c r="X24" i="6"/>
  <c r="S18" i="2"/>
  <c r="X18" i="2"/>
  <c r="V18" i="2"/>
  <c r="X15" i="10"/>
  <c r="V15" i="10"/>
  <c r="S15" i="10"/>
  <c r="X34" i="1"/>
  <c r="V34" i="1"/>
  <c r="S34" i="1"/>
  <c r="X31" i="2"/>
  <c r="V31" i="2"/>
  <c r="S31" i="2"/>
  <c r="V9" i="3"/>
  <c r="S9" i="3"/>
  <c r="X9" i="3"/>
  <c r="M40" i="7"/>
  <c r="V19" i="6"/>
  <c r="S19" i="6"/>
  <c r="X19" i="6"/>
  <c r="X19" i="2"/>
  <c r="V19" i="2"/>
  <c r="S19" i="2"/>
  <c r="S9" i="2"/>
  <c r="V9" i="2"/>
  <c r="X9" i="2"/>
  <c r="V20" i="5" l="1"/>
  <c r="S20" i="5"/>
  <c r="X20" i="5"/>
  <c r="N52" i="6"/>
  <c r="N51" i="5"/>
  <c r="X22" i="1"/>
  <c r="V22" i="1"/>
  <c r="S22" i="1"/>
</calcChain>
</file>

<file path=xl/sharedStrings.xml><?xml version="1.0" encoding="utf-8"?>
<sst xmlns="http://schemas.openxmlformats.org/spreadsheetml/2006/main" count="1612" uniqueCount="208">
  <si>
    <t>Planta</t>
  </si>
  <si>
    <t>Cerveza</t>
  </si>
  <si>
    <t>Mes</t>
  </si>
  <si>
    <t>Fecha Prod</t>
  </si>
  <si>
    <t>Embarrilado</t>
  </si>
  <si>
    <t>BBL</t>
  </si>
  <si>
    <t>Vol. Barriles</t>
  </si>
  <si>
    <t>Inv. Inicial</t>
  </si>
  <si>
    <t>Costo (MP)</t>
  </si>
  <si>
    <t>Mano de Obra</t>
  </si>
  <si>
    <t>Indirectos</t>
  </si>
  <si>
    <t>Costo Total</t>
  </si>
  <si>
    <t>Costo x Lt</t>
  </si>
  <si>
    <t>VentasDelfin</t>
  </si>
  <si>
    <t>VentasAleman</t>
  </si>
  <si>
    <t>Festivales</t>
  </si>
  <si>
    <t>VentasMayoreo</t>
  </si>
  <si>
    <t>CDV</t>
  </si>
  <si>
    <t>Inv. Final</t>
  </si>
  <si>
    <t>Inv. Físico Final</t>
  </si>
  <si>
    <t>Ajuste</t>
  </si>
  <si>
    <t>Desechado</t>
  </si>
  <si>
    <t>Producto Terminado</t>
  </si>
  <si>
    <t>Aleman</t>
  </si>
  <si>
    <t>Noctambulo</t>
  </si>
  <si>
    <t>oct24</t>
  </si>
  <si>
    <t>Sugar Mama</t>
  </si>
  <si>
    <t>nov24</t>
  </si>
  <si>
    <t>D46</t>
  </si>
  <si>
    <t>Delfin</t>
  </si>
  <si>
    <t>Collab 4Amores</t>
  </si>
  <si>
    <t>Satin Velour</t>
  </si>
  <si>
    <t>Hip Hops</t>
  </si>
  <si>
    <t>D48</t>
  </si>
  <si>
    <t>IPA</t>
  </si>
  <si>
    <t>Scottish</t>
  </si>
  <si>
    <t>Sanity</t>
  </si>
  <si>
    <t>dic24</t>
  </si>
  <si>
    <t>D49</t>
  </si>
  <si>
    <t>Blonde</t>
  </si>
  <si>
    <t>Plumeria Blanc</t>
  </si>
  <si>
    <t>Sabalo Centro</t>
  </si>
  <si>
    <t>Balada</t>
  </si>
  <si>
    <t>D50</t>
  </si>
  <si>
    <t>Malecon XPA</t>
  </si>
  <si>
    <t>Falling Wedge</t>
  </si>
  <si>
    <t>D51</t>
  </si>
  <si>
    <t>Porter</t>
  </si>
  <si>
    <t>Terra Dei Ciervi</t>
  </si>
  <si>
    <t>Gorilla Mambo</t>
  </si>
  <si>
    <t>D52</t>
  </si>
  <si>
    <t>D53</t>
  </si>
  <si>
    <t>Vienna</t>
  </si>
  <si>
    <t>Mirador</t>
  </si>
  <si>
    <t>D54</t>
  </si>
  <si>
    <t>D55</t>
  </si>
  <si>
    <t>Hazy IPA</t>
  </si>
  <si>
    <t>Deutsch Mike</t>
  </si>
  <si>
    <t>D56</t>
  </si>
  <si>
    <t>Isleña</t>
  </si>
  <si>
    <t>ene</t>
  </si>
  <si>
    <t>Gramos</t>
  </si>
  <si>
    <t>$$</t>
  </si>
  <si>
    <t>Vainilla Mex</t>
  </si>
  <si>
    <t>Avena</t>
  </si>
  <si>
    <t>Vainilla</t>
  </si>
  <si>
    <t>Café</t>
  </si>
  <si>
    <t>Cacao</t>
  </si>
  <si>
    <t>Coco</t>
  </si>
  <si>
    <t>Toronjas</t>
  </si>
  <si>
    <t>Té Satín</t>
  </si>
  <si>
    <t>Vodka</t>
  </si>
  <si>
    <t>Vainilla Madag</t>
  </si>
  <si>
    <t>Levadura WL</t>
  </si>
  <si>
    <t>Hazy IPA 1027</t>
  </si>
  <si>
    <t>Sin Avena</t>
  </si>
  <si>
    <t>Hazy IPA 1030</t>
  </si>
  <si>
    <t>Doble o Nada</t>
  </si>
  <si>
    <t>D57</t>
  </si>
  <si>
    <t>Zafarrancho</t>
  </si>
  <si>
    <t>Plumeria</t>
  </si>
  <si>
    <t>D58</t>
  </si>
  <si>
    <t>Grillo Collab</t>
  </si>
  <si>
    <t>Pilsner</t>
  </si>
  <si>
    <t>feb</t>
  </si>
  <si>
    <t>Grillo collab</t>
  </si>
  <si>
    <t>Sabalo 626</t>
  </si>
  <si>
    <t>Mochilero</t>
  </si>
  <si>
    <t>D59</t>
  </si>
  <si>
    <t>D60</t>
  </si>
  <si>
    <t>D61</t>
  </si>
  <si>
    <t>Tregua</t>
  </si>
  <si>
    <t>D62</t>
  </si>
  <si>
    <t>mar</t>
  </si>
  <si>
    <t>Delfino Maza</t>
  </si>
  <si>
    <t>D63</t>
  </si>
  <si>
    <t>D64</t>
  </si>
  <si>
    <t>Mora Boreal</t>
  </si>
  <si>
    <t>D65</t>
  </si>
  <si>
    <t>abr</t>
  </si>
  <si>
    <t>Cardamomo</t>
  </si>
  <si>
    <t>Blueberries</t>
  </si>
  <si>
    <t>Limón</t>
  </si>
  <si>
    <t>Hazy</t>
  </si>
  <si>
    <t>Satin</t>
  </si>
  <si>
    <t>D66</t>
  </si>
  <si>
    <t>Plumeria Rosé</t>
  </si>
  <si>
    <t>D67</t>
  </si>
  <si>
    <t>Hazy Pale Ale</t>
  </si>
  <si>
    <t>D68</t>
  </si>
  <si>
    <t>D69</t>
  </si>
  <si>
    <t>may</t>
  </si>
  <si>
    <t>Jamaica</t>
  </si>
  <si>
    <t>D70</t>
  </si>
  <si>
    <t>D71</t>
  </si>
  <si>
    <t>Manyava</t>
  </si>
  <si>
    <t>D72</t>
  </si>
  <si>
    <t>jun</t>
  </si>
  <si>
    <t>Mango/Guayaba</t>
  </si>
  <si>
    <t>SAtin</t>
  </si>
  <si>
    <t>D73</t>
  </si>
  <si>
    <t>D74</t>
  </si>
  <si>
    <t>D75</t>
  </si>
  <si>
    <t>D76</t>
  </si>
  <si>
    <t>D77</t>
  </si>
  <si>
    <t>jul</t>
  </si>
  <si>
    <t>Batichela</t>
  </si>
  <si>
    <t>D078</t>
  </si>
  <si>
    <t>D079</t>
  </si>
  <si>
    <t>D080</t>
  </si>
  <si>
    <t>Pacha Chela</t>
  </si>
  <si>
    <t>D081</t>
  </si>
  <si>
    <t>Oktoberfest</t>
  </si>
  <si>
    <t>ago</t>
  </si>
  <si>
    <t>Mora B</t>
  </si>
  <si>
    <t>D082</t>
  </si>
  <si>
    <t>D083</t>
  </si>
  <si>
    <t>D084</t>
  </si>
  <si>
    <t>Good Times IPA</t>
  </si>
  <si>
    <t>Plumeria Rose</t>
  </si>
  <si>
    <t>sep</t>
  </si>
  <si>
    <t>Quedaron aprox $100 de Vodka para noctambulo en Octubre</t>
  </si>
  <si>
    <t>D085</t>
  </si>
  <si>
    <t>D086</t>
  </si>
  <si>
    <t>Vienna Lager</t>
  </si>
  <si>
    <t>Belgian Pale</t>
  </si>
  <si>
    <t>D087</t>
  </si>
  <si>
    <t>D088</t>
  </si>
  <si>
    <t>Wheat Beer</t>
  </si>
  <si>
    <t>D089</t>
  </si>
  <si>
    <t>oct</t>
  </si>
  <si>
    <t>D090</t>
  </si>
  <si>
    <t>D091</t>
  </si>
  <si>
    <t>D092</t>
  </si>
  <si>
    <t>HW001</t>
  </si>
  <si>
    <t>Lemon Haze Water</t>
  </si>
  <si>
    <t>nov</t>
  </si>
  <si>
    <t>Hielo</t>
  </si>
  <si>
    <t>Piloncillo</t>
  </si>
  <si>
    <t>Toronja</t>
  </si>
  <si>
    <t>Concepto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</si>
  <si>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</si>
  <si>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</si>
  <si>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</si>
  <si>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</si>
  <si>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</si>
  <si>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</si>
  <si>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</si>
  <si>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</si>
  <si>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</si>
  <si>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</si>
  <si>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</si>
  <si>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Gas LP Aleman</t>
  </si>
  <si>
    <t>Electricidad Aleman</t>
  </si>
  <si>
    <t>Agua Aleman</t>
  </si>
  <si>
    <t>Total Aleman</t>
  </si>
  <si>
    <t>Gas LP Delfin</t>
  </si>
  <si>
    <t>Electricidad Delfin</t>
  </si>
  <si>
    <t>Agua Delfin</t>
  </si>
  <si>
    <t>Total Delfin</t>
  </si>
  <si>
    <t>Gases/Químicos</t>
  </si>
  <si>
    <t>Proporcion Aleman</t>
  </si>
  <si>
    <t>Proporcion Delfin</t>
  </si>
  <si>
    <t>Producción Aleman BBL</t>
  </si>
  <si>
    <t>Produccion Delfin BBL</t>
  </si>
  <si>
    <t>Lotes Aleman</t>
  </si>
  <si>
    <t>Lotes Delfin</t>
  </si>
  <si>
    <t>Daniel Lizarraga</t>
  </si>
  <si>
    <t>Cenon Martinez</t>
  </si>
  <si>
    <t>Erik N</t>
  </si>
  <si>
    <t>Roberto</t>
  </si>
  <si>
    <t>Pedro Burgos</t>
  </si>
  <si>
    <t>Jiroo (Fer en previos)</t>
  </si>
  <si>
    <t>María</t>
  </si>
  <si>
    <t>Proporción MO Aleman</t>
  </si>
  <si>
    <t>Proporcion MO Delfin</t>
  </si>
  <si>
    <t>Total</t>
  </si>
  <si>
    <t>Produccion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</si>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</sst>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$&quot;* #,##0.00_-;\-&quot;$&quot;* #,##0.00_-;_-&quot;$&quot;* &quot;-&quot;??_-;_-@_-"/>
    <numFmt numFmtId="164" formatCode="d\-mmm"/>
    <numFmt numFmtId="165" formatCode="_-&quot;$&quot;* #,##0.00_-;_-&quot;$&quot;* \-#,##0.00_-;_-&quot;$&quot;* &quot;-&quot;??_-;_-@"/>
    <numFmt numFmtId="166" formatCode="_-&quot;$&quot;* #,##0.00_-;_-&quot;$&quot;* \-#,##0.00_-;_-&quot;$&quot;* &quot;-&quot;??.00_-;_-@"/>
    <numFmt numFmtId="167" formatCode="mmmd"/>
    <numFmt numFmtId="168" formatCode="&quot;$&quot;#,##0.00"/>
    <numFmt numFmtId="170" formatCode="_-&quot;$&quot;* #,##0_-;_-&quot;$&quot;* \-#,##0_-;_-&quot;$&quot;* &quot;-&quot;??_-;_-@"/>
  </numFmts>
  <fonts count="10" x14ac:knownFonts="1">
    <font>
      <sz val="10"/>
      <color rgb="FF000000"/>
      <name val="Arial"/>
      <scheme val="minor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C27BA0"/>
        <bgColor rgb="FFC27BA0"/>
      </patternFill>
    </fill>
    <fill>
      <patternFill patternType="solid">
        <fgColor theme="6"/>
        <bgColor theme="6"/>
      </patternFill>
    </fill>
    <fill>
      <patternFill patternType="solid">
        <fgColor rgb="FFF1C232"/>
        <bgColor rgb="FFF1C232"/>
      </patternFill>
    </fill>
    <fill>
      <patternFill patternType="solid">
        <fgColor theme="8"/>
        <bgColor theme="8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quotePrefix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3" xfId="0" applyNumberFormat="1" applyFont="1" applyBorder="1"/>
    <xf numFmtId="166" fontId="3" fillId="2" borderId="2" xfId="0" applyNumberFormat="1" applyFont="1" applyFill="1" applyBorder="1"/>
    <xf numFmtId="167" fontId="3" fillId="0" borderId="2" xfId="0" applyNumberFormat="1" applyFont="1" applyBorder="1" applyAlignment="1">
      <alignment horizontal="center"/>
    </xf>
    <xf numFmtId="165" fontId="3" fillId="2" borderId="2" xfId="0" applyNumberFormat="1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165" fontId="3" fillId="5" borderId="2" xfId="0" applyNumberFormat="1" applyFont="1" applyFill="1" applyBorder="1"/>
    <xf numFmtId="16" fontId="3" fillId="0" borderId="2" xfId="0" applyNumberFormat="1" applyFont="1" applyBorder="1" applyAlignment="1">
      <alignment horizontal="center"/>
    </xf>
    <xf numFmtId="165" fontId="3" fillId="6" borderId="2" xfId="0" applyNumberFormat="1" applyFont="1" applyFill="1" applyBorder="1"/>
    <xf numFmtId="0" fontId="4" fillId="0" borderId="2" xfId="0" applyFont="1" applyBorder="1" applyAlignment="1">
      <alignment horizontal="center"/>
    </xf>
    <xf numFmtId="0" fontId="5" fillId="0" borderId="0" xfId="0" applyFont="1"/>
    <xf numFmtId="165" fontId="5" fillId="0" borderId="0" xfId="0" applyNumberFormat="1" applyFont="1"/>
    <xf numFmtId="165" fontId="3" fillId="0" borderId="0" xfId="0" applyNumberFormat="1" applyFont="1"/>
    <xf numFmtId="0" fontId="5" fillId="5" borderId="0" xfId="0" applyFont="1" applyFill="1"/>
    <xf numFmtId="0" fontId="5" fillId="6" borderId="0" xfId="0" applyFont="1" applyFill="1"/>
    <xf numFmtId="14" fontId="5" fillId="0" borderId="0" xfId="0" applyNumberFormat="1" applyFont="1"/>
    <xf numFmtId="0" fontId="3" fillId="5" borderId="2" xfId="0" applyFont="1" applyFill="1" applyBorder="1"/>
    <xf numFmtId="0" fontId="3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" fontId="3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3" xfId="0" applyNumberFormat="1" applyFont="1" applyFill="1" applyBorder="1"/>
    <xf numFmtId="0" fontId="3" fillId="7" borderId="2" xfId="0" applyFont="1" applyFill="1" applyBorder="1" applyAlignment="1">
      <alignment horizontal="right"/>
    </xf>
    <xf numFmtId="0" fontId="3" fillId="8" borderId="2" xfId="0" applyFont="1" applyFill="1" applyBorder="1" applyAlignment="1">
      <alignment horizontal="right"/>
    </xf>
    <xf numFmtId="0" fontId="3" fillId="7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right"/>
    </xf>
    <xf numFmtId="0" fontId="3" fillId="9" borderId="2" xfId="0" applyFont="1" applyFill="1" applyBorder="1"/>
    <xf numFmtId="0" fontId="3" fillId="5" borderId="2" xfId="0" applyFont="1" applyFill="1" applyBorder="1" applyAlignment="1">
      <alignment horizontal="right"/>
    </xf>
    <xf numFmtId="0" fontId="2" fillId="0" borderId="0" xfId="0" applyFont="1"/>
    <xf numFmtId="0" fontId="6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8" fontId="7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/>
    <xf numFmtId="0" fontId="5" fillId="0" borderId="0" xfId="0" quotePrefix="1" applyFont="1"/>
    <xf numFmtId="0" fontId="1" fillId="10" borderId="1" xfId="0" applyFont="1" applyFill="1" applyBorder="1"/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/>
    <xf numFmtId="0" fontId="9" fillId="0" borderId="0" xfId="0" applyFont="1" applyFill="1" applyBorder="1" applyAlignment="1">
      <alignment horizontal="left"/>
    </xf>
    <xf numFmtId="44" fontId="0" fillId="0" borderId="0" xfId="0" applyNumberFormat="1"/>
    <xf numFmtId="170" fontId="7" fillId="0" borderId="0" xfId="0" applyNumberFormat="1" applyFont="1" applyAlignment="1">
      <alignment horizontal="right"/>
    </xf>
    <xf numFmtId="170" fontId="7" fillId="0" borderId="0" xfId="0" applyNumberFormat="1" applyFont="1"/>
    <xf numFmtId="170" fontId="4" fillId="0" borderId="0" xfId="0" applyNumberFormat="1" applyFont="1" applyAlignment="1">
      <alignment horizontal="right"/>
    </xf>
  </cellXfs>
  <cellStyles count="1">
    <cellStyle name="Normal" xfId="0" builtinId="0"/>
  </cellStyles>
  <dxfs count="55"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ont>
        <color rgb="FF7F6000"/>
      </font>
      <fill>
        <patternFill patternType="solid">
          <fgColor rgb="FFFFD966"/>
          <bgColor rgb="FFFFD966"/>
        </patternFill>
      </fill>
    </dxf>
    <dxf>
      <font>
        <color rgb="FF990000"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  <dxf>
      <fill>
        <patternFill patternType="solid">
          <fgColor rgb="FFFFC6B1"/>
          <bgColor rgb="FFFFC6B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1">
    <tableStyle name="Enero-style" pivot="0" count="3" xr9:uid="{00000000-0011-0000-FFFF-FFFF00000000}">
      <tableStyleElement type="headerRow" dxfId="54"/>
      <tableStyleElement type="firstRowStripe" dxfId="53"/>
      <tableStyleElement type="secondRowStripe" dxfId="52"/>
    </tableStyle>
    <tableStyle name="Febrero-style" pivot="0" count="3" xr9:uid="{00000000-0011-0000-FFFF-FFFF01000000}">
      <tableStyleElement type="headerRow" dxfId="51"/>
      <tableStyleElement type="firstRowStripe" dxfId="50"/>
      <tableStyleElement type="secondRowStripe" dxfId="49"/>
    </tableStyle>
    <tableStyle name="Marzo-style" pivot="0" count="3" xr9:uid="{00000000-0011-0000-FFFF-FFFF02000000}">
      <tableStyleElement type="headerRow" dxfId="48"/>
      <tableStyleElement type="firstRowStripe" dxfId="47"/>
      <tableStyleElement type="secondRowStripe" dxfId="46"/>
    </tableStyle>
    <tableStyle name="Abril-style" pivot="0" count="3" xr9:uid="{00000000-0011-0000-FFFF-FFFF03000000}">
      <tableStyleElement type="headerRow" dxfId="45"/>
      <tableStyleElement type="firstRowStripe" dxfId="44"/>
      <tableStyleElement type="secondRowStripe" dxfId="43"/>
    </tableStyle>
    <tableStyle name="Mayo-style" pivot="0" count="3" xr9:uid="{00000000-0011-0000-FFFF-FFFF04000000}">
      <tableStyleElement type="headerRow" dxfId="42"/>
      <tableStyleElement type="firstRowStripe" dxfId="41"/>
      <tableStyleElement type="secondRowStripe" dxfId="40"/>
    </tableStyle>
    <tableStyle name="Junio-style" pivot="0" count="3" xr9:uid="{00000000-0011-0000-FFFF-FFFF05000000}">
      <tableStyleElement type="headerRow" dxfId="39"/>
      <tableStyleElement type="firstRowStripe" dxfId="38"/>
      <tableStyleElement type="secondRowStripe" dxfId="37"/>
    </tableStyle>
    <tableStyle name="Julio-style" pivot="0" count="3" xr9:uid="{00000000-0011-0000-FFFF-FFFF06000000}">
      <tableStyleElement type="headerRow" dxfId="36"/>
      <tableStyleElement type="firstRowStripe" dxfId="35"/>
      <tableStyleElement type="secondRowStripe" dxfId="34"/>
    </tableStyle>
    <tableStyle name="Agosto-style" pivot="0" count="3" xr9:uid="{00000000-0011-0000-FFFF-FFFF07000000}">
      <tableStyleElement type="headerRow" dxfId="33"/>
      <tableStyleElement type="firstRowStripe" dxfId="32"/>
      <tableStyleElement type="secondRowStripe" dxfId="31"/>
    </tableStyle>
    <tableStyle name="Septiembre-style" pivot="0" count="3" xr9:uid="{00000000-0011-0000-FFFF-FFFF08000000}">
      <tableStyleElement type="headerRow" dxfId="30"/>
      <tableStyleElement type="firstRowStripe" dxfId="29"/>
      <tableStyleElement type="secondRowStripe" dxfId="28"/>
    </tableStyle>
    <tableStyle name="Octubre-style" pivot="0" count="3" xr9:uid="{00000000-0011-0000-FFFF-FFFF09000000}">
      <tableStyleElement type="headerRow" dxfId="27"/>
      <tableStyleElement type="firstRowStripe" dxfId="26"/>
      <tableStyleElement type="secondRowStripe" dxfId="25"/>
    </tableStyle>
    <tableStyle name="Noviembre-style" pivot="0" count="3" xr9:uid="{00000000-0011-0000-FFFF-FFFF0A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X42" headerRowCount="0">
  <tableColumns count="2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  <tableColumn id="24" xr3:uid="{00000000-0010-0000-0000-000018000000}" name="Column24"/>
  </tableColumns>
  <tableStyleInfo name="Ener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1:X40" headerRowCount="0">
  <tableColumns count="24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  <tableColumn id="6" xr3:uid="{00000000-0010-0000-0900-000006000000}" name="Column6"/>
    <tableColumn id="7" xr3:uid="{00000000-0010-0000-0900-000007000000}" name="Column7"/>
    <tableColumn id="8" xr3:uid="{00000000-0010-0000-0900-000008000000}" name="Column8"/>
    <tableColumn id="9" xr3:uid="{00000000-0010-0000-0900-000009000000}" name="Column9"/>
    <tableColumn id="10" xr3:uid="{00000000-0010-0000-0900-00000A000000}" name="Column10"/>
    <tableColumn id="11" xr3:uid="{00000000-0010-0000-0900-00000B000000}" name="Column11"/>
    <tableColumn id="12" xr3:uid="{00000000-0010-0000-0900-00000C000000}" name="Column12"/>
    <tableColumn id="13" xr3:uid="{00000000-0010-0000-0900-00000D000000}" name="Column13"/>
    <tableColumn id="14" xr3:uid="{00000000-0010-0000-0900-00000E000000}" name="Column14"/>
    <tableColumn id="15" xr3:uid="{00000000-0010-0000-0900-00000F000000}" name="Column15"/>
    <tableColumn id="16" xr3:uid="{00000000-0010-0000-0900-000010000000}" name="Column16"/>
    <tableColumn id="17" xr3:uid="{00000000-0010-0000-0900-000011000000}" name="Column17"/>
    <tableColumn id="18" xr3:uid="{00000000-0010-0000-0900-000012000000}" name="Column18"/>
    <tableColumn id="19" xr3:uid="{00000000-0010-0000-0900-000013000000}" name="Column19"/>
    <tableColumn id="20" xr3:uid="{00000000-0010-0000-0900-000014000000}" name="Column20"/>
    <tableColumn id="21" xr3:uid="{00000000-0010-0000-0900-000015000000}" name="Column21"/>
    <tableColumn id="22" xr3:uid="{00000000-0010-0000-0900-000016000000}" name="Column22"/>
    <tableColumn id="23" xr3:uid="{00000000-0010-0000-0900-000017000000}" name="Column23"/>
    <tableColumn id="24" xr3:uid="{00000000-0010-0000-0900-000018000000}" name="Column24"/>
  </tableColumns>
  <tableStyleInfo name="Octub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1:X38" headerRowCount="0">
  <tableColumns count="24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  <tableColumn id="7" xr3:uid="{00000000-0010-0000-0A00-000007000000}" name="Column7"/>
    <tableColumn id="8" xr3:uid="{00000000-0010-0000-0A00-000008000000}" name="Column8"/>
    <tableColumn id="9" xr3:uid="{00000000-0010-0000-0A00-000009000000}" name="Column9"/>
    <tableColumn id="10" xr3:uid="{00000000-0010-0000-0A00-00000A000000}" name="Column10"/>
    <tableColumn id="11" xr3:uid="{00000000-0010-0000-0A00-00000B000000}" name="Column11"/>
    <tableColumn id="12" xr3:uid="{00000000-0010-0000-0A00-00000C000000}" name="Column12"/>
    <tableColumn id="13" xr3:uid="{00000000-0010-0000-0A00-00000D000000}" name="Column13"/>
    <tableColumn id="14" xr3:uid="{00000000-0010-0000-0A00-00000E000000}" name="Column14"/>
    <tableColumn id="15" xr3:uid="{00000000-0010-0000-0A00-00000F000000}" name="Column15"/>
    <tableColumn id="16" xr3:uid="{00000000-0010-0000-0A00-000010000000}" name="Column16"/>
    <tableColumn id="17" xr3:uid="{00000000-0010-0000-0A00-000011000000}" name="Column17"/>
    <tableColumn id="18" xr3:uid="{00000000-0010-0000-0A00-000012000000}" name="Column18"/>
    <tableColumn id="19" xr3:uid="{00000000-0010-0000-0A00-000013000000}" name="Column19"/>
    <tableColumn id="20" xr3:uid="{00000000-0010-0000-0A00-000014000000}" name="Column20"/>
    <tableColumn id="21" xr3:uid="{00000000-0010-0000-0A00-000015000000}" name="Column21"/>
    <tableColumn id="22" xr3:uid="{00000000-0010-0000-0A00-000016000000}" name="Column22"/>
    <tableColumn id="23" xr3:uid="{00000000-0010-0000-0A00-000017000000}" name="Column23"/>
    <tableColumn id="24" xr3:uid="{00000000-0010-0000-0A00-000018000000}" name="Column24"/>
  </tableColumns>
  <tableStyleInfo name="Noviemb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X38" headerRowCount="0">
  <tableColumns count="24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</tableColumns>
  <tableStyleInfo name="Febrer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X39" headerRowCount="0">
  <tableColumns count="24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Column19"/>
    <tableColumn id="20" xr3:uid="{00000000-0010-0000-0200-000014000000}" name="Column20"/>
    <tableColumn id="21" xr3:uid="{00000000-0010-0000-0200-000015000000}" name="Column21"/>
    <tableColumn id="22" xr3:uid="{00000000-0010-0000-0200-000016000000}" name="Column22"/>
    <tableColumn id="23" xr3:uid="{00000000-0010-0000-0200-000017000000}" name="Column23"/>
    <tableColumn id="24" xr3:uid="{00000000-0010-0000-0200-000018000000}" name="Column24"/>
  </tableColumns>
  <tableStyleInfo name="Marz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X38" headerRowCount="0">
  <tableColumns count="2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  <tableColumn id="15" xr3:uid="{00000000-0010-0000-0300-00000F000000}" name="Column15"/>
    <tableColumn id="16" xr3:uid="{00000000-0010-0000-0300-000010000000}" name="Column16"/>
    <tableColumn id="17" xr3:uid="{00000000-0010-0000-0300-000011000000}" name="Column17"/>
    <tableColumn id="18" xr3:uid="{00000000-0010-0000-0300-000012000000}" name="Column18"/>
    <tableColumn id="19" xr3:uid="{00000000-0010-0000-0300-000013000000}" name="Column19"/>
    <tableColumn id="20" xr3:uid="{00000000-0010-0000-0300-000014000000}" name="Column20"/>
    <tableColumn id="21" xr3:uid="{00000000-0010-0000-0300-000015000000}" name="Column21"/>
    <tableColumn id="22" xr3:uid="{00000000-0010-0000-0300-000016000000}" name="Column22"/>
    <tableColumn id="23" xr3:uid="{00000000-0010-0000-0300-000017000000}" name="Column23"/>
    <tableColumn id="24" xr3:uid="{00000000-0010-0000-0300-000018000000}" name="Column24"/>
  </tableColumns>
  <tableStyleInfo name="Abril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X37" headerRowCount="0">
  <tableColumns count="24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  <tableColumn id="11" xr3:uid="{00000000-0010-0000-0400-00000B000000}" name="Column11"/>
    <tableColumn id="12" xr3:uid="{00000000-0010-0000-0400-00000C000000}" name="Column12"/>
    <tableColumn id="13" xr3:uid="{00000000-0010-0000-0400-00000D000000}" name="Column13"/>
    <tableColumn id="14" xr3:uid="{00000000-0010-0000-0400-00000E000000}" name="Column14"/>
    <tableColumn id="15" xr3:uid="{00000000-0010-0000-0400-00000F000000}" name="Column15"/>
    <tableColumn id="16" xr3:uid="{00000000-0010-0000-0400-000010000000}" name="Column16"/>
    <tableColumn id="17" xr3:uid="{00000000-0010-0000-0400-000011000000}" name="Column17"/>
    <tableColumn id="18" xr3:uid="{00000000-0010-0000-0400-000012000000}" name="Column18"/>
    <tableColumn id="19" xr3:uid="{00000000-0010-0000-0400-000013000000}" name="Column19"/>
    <tableColumn id="20" xr3:uid="{00000000-0010-0000-0400-000014000000}" name="Column20"/>
    <tableColumn id="21" xr3:uid="{00000000-0010-0000-0400-000015000000}" name="Column21"/>
    <tableColumn id="22" xr3:uid="{00000000-0010-0000-0400-000016000000}" name="Column22"/>
    <tableColumn id="23" xr3:uid="{00000000-0010-0000-0400-000017000000}" name="Column23"/>
    <tableColumn id="24" xr3:uid="{00000000-0010-0000-0400-000018000000}" name="Column24"/>
  </tableColumns>
  <tableStyleInfo name="May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:X38" headerRowCount="0">
  <tableColumns count="24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/>
    <tableColumn id="10" xr3:uid="{00000000-0010-0000-0500-00000A000000}" name="Column10"/>
    <tableColumn id="11" xr3:uid="{00000000-0010-0000-0500-00000B000000}" name="Column11"/>
    <tableColumn id="12" xr3:uid="{00000000-0010-0000-0500-00000C000000}" name="Column12"/>
    <tableColumn id="13" xr3:uid="{00000000-0010-0000-0500-00000D000000}" name="Column13"/>
    <tableColumn id="14" xr3:uid="{00000000-0010-0000-0500-00000E000000}" name="Column14"/>
    <tableColumn id="15" xr3:uid="{00000000-0010-0000-0500-00000F000000}" name="Column15"/>
    <tableColumn id="16" xr3:uid="{00000000-0010-0000-0500-000010000000}" name="Column16"/>
    <tableColumn id="17" xr3:uid="{00000000-0010-0000-0500-000011000000}" name="Column17"/>
    <tableColumn id="18" xr3:uid="{00000000-0010-0000-0500-000012000000}" name="Column18"/>
    <tableColumn id="19" xr3:uid="{00000000-0010-0000-0500-000013000000}" name="Column19"/>
    <tableColumn id="20" xr3:uid="{00000000-0010-0000-0500-000014000000}" name="Column20"/>
    <tableColumn id="21" xr3:uid="{00000000-0010-0000-0500-000015000000}" name="Column21"/>
    <tableColumn id="22" xr3:uid="{00000000-0010-0000-0500-000016000000}" name="Column22"/>
    <tableColumn id="23" xr3:uid="{00000000-0010-0000-0500-000017000000}" name="Column23"/>
    <tableColumn id="24" xr3:uid="{00000000-0010-0000-0500-000018000000}" name="Column24"/>
  </tableColumns>
  <tableStyleInfo name="Juni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:X38" headerRowCount="0">
  <tableColumns count="24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  <tableColumn id="12" xr3:uid="{00000000-0010-0000-0600-00000C000000}" name="Column12"/>
    <tableColumn id="13" xr3:uid="{00000000-0010-0000-0600-00000D000000}" name="Column13"/>
    <tableColumn id="14" xr3:uid="{00000000-0010-0000-0600-00000E000000}" name="Column14"/>
    <tableColumn id="15" xr3:uid="{00000000-0010-0000-0600-00000F000000}" name="Column15"/>
    <tableColumn id="16" xr3:uid="{00000000-0010-0000-0600-000010000000}" name="Column16"/>
    <tableColumn id="17" xr3:uid="{00000000-0010-0000-0600-000011000000}" name="Column17"/>
    <tableColumn id="18" xr3:uid="{00000000-0010-0000-0600-000012000000}" name="Column18"/>
    <tableColumn id="19" xr3:uid="{00000000-0010-0000-0600-000013000000}" name="Column19"/>
    <tableColumn id="20" xr3:uid="{00000000-0010-0000-0600-000014000000}" name="Column20"/>
    <tableColumn id="21" xr3:uid="{00000000-0010-0000-0600-000015000000}" name="Column21"/>
    <tableColumn id="22" xr3:uid="{00000000-0010-0000-0600-000016000000}" name="Column22"/>
    <tableColumn id="23" xr3:uid="{00000000-0010-0000-0600-000017000000}" name="Column23"/>
    <tableColumn id="24" xr3:uid="{00000000-0010-0000-0600-000018000000}" name="Column24"/>
  </tableColumns>
  <tableStyleInfo name="Juli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:X38" headerRowCount="0">
  <tableColumns count="24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  <tableColumn id="6" xr3:uid="{00000000-0010-0000-0700-000006000000}" name="Column6"/>
    <tableColumn id="7" xr3:uid="{00000000-0010-0000-0700-000007000000}" name="Column7"/>
    <tableColumn id="8" xr3:uid="{00000000-0010-0000-0700-000008000000}" name="Column8"/>
    <tableColumn id="9" xr3:uid="{00000000-0010-0000-0700-000009000000}" name="Column9"/>
    <tableColumn id="10" xr3:uid="{00000000-0010-0000-0700-00000A000000}" name="Column10"/>
    <tableColumn id="11" xr3:uid="{00000000-0010-0000-0700-00000B000000}" name="Column11"/>
    <tableColumn id="12" xr3:uid="{00000000-0010-0000-0700-00000C000000}" name="Column12"/>
    <tableColumn id="13" xr3:uid="{00000000-0010-0000-0700-00000D000000}" name="Column13"/>
    <tableColumn id="14" xr3:uid="{00000000-0010-0000-0700-00000E000000}" name="Column14"/>
    <tableColumn id="15" xr3:uid="{00000000-0010-0000-0700-00000F000000}" name="Column15"/>
    <tableColumn id="16" xr3:uid="{00000000-0010-0000-0700-000010000000}" name="Column16"/>
    <tableColumn id="17" xr3:uid="{00000000-0010-0000-0700-000011000000}" name="Column17"/>
    <tableColumn id="18" xr3:uid="{00000000-0010-0000-0700-000012000000}" name="Column18"/>
    <tableColumn id="19" xr3:uid="{00000000-0010-0000-0700-000013000000}" name="Column19"/>
    <tableColumn id="20" xr3:uid="{00000000-0010-0000-0700-000014000000}" name="Column20"/>
    <tableColumn id="21" xr3:uid="{00000000-0010-0000-0700-000015000000}" name="Column21"/>
    <tableColumn id="22" xr3:uid="{00000000-0010-0000-0700-000016000000}" name="Column22"/>
    <tableColumn id="23" xr3:uid="{00000000-0010-0000-0700-000017000000}" name="Column23"/>
    <tableColumn id="24" xr3:uid="{00000000-0010-0000-0700-000018000000}" name="Column24"/>
  </tableColumns>
  <tableStyleInfo name="Agos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X38" headerRowCount="0">
  <tableColumns count="24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  <tableColumn id="8" xr3:uid="{00000000-0010-0000-0800-000008000000}" name="Column8"/>
    <tableColumn id="9" xr3:uid="{00000000-0010-0000-0800-000009000000}" name="Column9"/>
    <tableColumn id="10" xr3:uid="{00000000-0010-0000-0800-00000A000000}" name="Column10"/>
    <tableColumn id="11" xr3:uid="{00000000-0010-0000-0800-00000B000000}" name="Column11"/>
    <tableColumn id="12" xr3:uid="{00000000-0010-0000-0800-00000C000000}" name="Column12"/>
    <tableColumn id="13" xr3:uid="{00000000-0010-0000-0800-00000D000000}" name="Column13"/>
    <tableColumn id="14" xr3:uid="{00000000-0010-0000-0800-00000E000000}" name="Column14"/>
    <tableColumn id="15" xr3:uid="{00000000-0010-0000-0800-00000F000000}" name="Column15"/>
    <tableColumn id="16" xr3:uid="{00000000-0010-0000-0800-000010000000}" name="Column16"/>
    <tableColumn id="17" xr3:uid="{00000000-0010-0000-0800-000011000000}" name="Column17"/>
    <tableColumn id="18" xr3:uid="{00000000-0010-0000-0800-000012000000}" name="Column18"/>
    <tableColumn id="19" xr3:uid="{00000000-0010-0000-0800-000013000000}" name="Column19"/>
    <tableColumn id="20" xr3:uid="{00000000-0010-0000-0800-000014000000}" name="Column20"/>
    <tableColumn id="21" xr3:uid="{00000000-0010-0000-0800-000015000000}" name="Column21"/>
    <tableColumn id="22" xr3:uid="{00000000-0010-0000-0800-000016000000}" name="Column22"/>
    <tableColumn id="23" xr3:uid="{00000000-0010-0000-0800-000017000000}" name="Column23"/>
    <tableColumn id="24" xr3:uid="{00000000-0010-0000-0800-000018000000}" name="Column24"/>
  </tableColumns>
  <tableStyleInfo name="Septiemb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9"/>
  <sheetViews>
    <sheetView tabSelected="1" workbookViewId="0">
      <pane xSplit="3" topLeftCell="D1" activePane="topRight" state="frozen"/>
      <selection pane="topRight" activeCell="F20" sqref="F20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4.81640625" bestFit="1" customWidth="1"/>
    <col min="24" max="24" width="20.54296875" bestFit="1" customWidth="1"/>
  </cols>
  <sheetData>
    <row r="1" spans="1:26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  <c r="Z1" s="63"/>
    </row>
    <row r="2" spans="1:26" ht="15.5" x14ac:dyDescent="0.35">
      <c r="A2" s="1">
        <v>996</v>
      </c>
      <c r="B2" s="2" t="s">
        <v>23</v>
      </c>
      <c r="C2" s="3" t="s">
        <v>24</v>
      </c>
      <c r="D2" s="4" t="s">
        <v>25</v>
      </c>
      <c r="E2" s="5">
        <v>45588</v>
      </c>
      <c r="F2" s="6">
        <v>45602</v>
      </c>
      <c r="G2" s="7">
        <v>8</v>
      </c>
      <c r="H2" s="7">
        <v>930</v>
      </c>
      <c r="I2" s="3">
        <v>122</v>
      </c>
      <c r="J2" s="8">
        <v>17912.5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15794.082658466255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5560.5409662274751</v>
      </c>
      <c r="M2" s="8">
        <f>J2+K2+L2</f>
        <v>39267.123624693733</v>
      </c>
      <c r="N2" s="9">
        <f>IF(H2&gt;0,M2/H2,"N/A")</f>
        <v>42.222713574939498</v>
      </c>
      <c r="O2" s="10">
        <v>100</v>
      </c>
      <c r="P2" s="3"/>
      <c r="Q2" s="3"/>
      <c r="R2" s="3"/>
      <c r="S2" s="8">
        <f>IF(N2="N/A",0,(O2+P2+Q2+R2)*N2)</f>
        <v>4222.2713574939498</v>
      </c>
      <c r="T2" s="7">
        <f>IF(I2=0,H2-O2-P2-Q2-R2,I2-O2-P2-Q2-R2)</f>
        <v>22</v>
      </c>
      <c r="U2" s="3">
        <v>20</v>
      </c>
      <c r="V2" s="8">
        <f>IF(N2="N/A",0,((T2-U2)*N2)-W2)</f>
        <v>84.445427149878995</v>
      </c>
      <c r="W2" s="8"/>
      <c r="X2" s="11">
        <f>IF(N2="N/A",0,U2*N2)</f>
        <v>844.45427149878992</v>
      </c>
      <c r="Z2" s="63"/>
    </row>
    <row r="3" spans="1:26" ht="15.5" x14ac:dyDescent="0.35">
      <c r="A3" s="1">
        <v>1000</v>
      </c>
      <c r="B3" s="2" t="s">
        <v>23</v>
      </c>
      <c r="C3" s="3" t="s">
        <v>26</v>
      </c>
      <c r="D3" s="4" t="s">
        <v>27</v>
      </c>
      <c r="E3" s="5">
        <v>45597</v>
      </c>
      <c r="F3" s="6">
        <v>45624</v>
      </c>
      <c r="G3" s="7">
        <v>4</v>
      </c>
      <c r="H3" s="7">
        <v>360</v>
      </c>
      <c r="I3" s="3">
        <v>60</v>
      </c>
      <c r="J3" s="12">
        <v>21525.43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7014.9607441622993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2717.1600871167698</v>
      </c>
      <c r="M3" s="8">
        <f t="shared" ref="M2:M42" si="0">J3+K3+L3</f>
        <v>31257.55083127907</v>
      </c>
      <c r="N3" s="9">
        <f t="shared" ref="N2:N42" si="1">IF(H3&gt;0,M3/H3,"N/A")</f>
        <v>86.826530086886308</v>
      </c>
      <c r="O3" s="10">
        <v>60</v>
      </c>
      <c r="P3" s="3"/>
      <c r="Q3" s="3"/>
      <c r="R3" s="3"/>
      <c r="S3" s="8">
        <f t="shared" ref="S2:S42" si="2">IF(N3="N/A",0,(O3+P3+Q3+R3)*N3)</f>
        <v>5209.5918052131783</v>
      </c>
      <c r="T3" s="7">
        <f t="shared" ref="T2:T42" si="3">IF(I3=0,H3-O3-P3-Q3-R3,I3-O3-P3-Q3-R3)</f>
        <v>0</v>
      </c>
      <c r="U3" s="3">
        <v>0</v>
      </c>
      <c r="V3" s="8">
        <f t="shared" ref="V2:V42" si="4">IF(N3="N/A",0,((T3-U3)*N3)-W3)</f>
        <v>0</v>
      </c>
      <c r="W3" s="8"/>
      <c r="X3" s="11">
        <f t="shared" ref="X2:X42" si="5">IF(N3="N/A",0,U3*N3)</f>
        <v>0</v>
      </c>
      <c r="Z3" s="63"/>
    </row>
    <row r="4" spans="1:26" ht="15.5" x14ac:dyDescent="0.35">
      <c r="A4" s="1" t="s">
        <v>28</v>
      </c>
      <c r="B4" s="2" t="s">
        <v>29</v>
      </c>
      <c r="C4" s="3" t="s">
        <v>30</v>
      </c>
      <c r="D4" s="4" t="s">
        <v>27</v>
      </c>
      <c r="E4" s="5">
        <v>45603</v>
      </c>
      <c r="F4" s="6">
        <v>45636</v>
      </c>
      <c r="G4" s="7">
        <v>20</v>
      </c>
      <c r="H4" s="7">
        <v>2323</v>
      </c>
      <c r="I4" s="3">
        <v>1079</v>
      </c>
      <c r="J4" s="8">
        <v>21635.31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21059.507814023251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15632.47224409449</v>
      </c>
      <c r="M4" s="8">
        <f t="shared" si="0"/>
        <v>58327.290058117738</v>
      </c>
      <c r="N4" s="9">
        <f t="shared" si="1"/>
        <v>25.108605276847928</v>
      </c>
      <c r="O4" s="10">
        <v>316</v>
      </c>
      <c r="P4" s="3">
        <v>180</v>
      </c>
      <c r="Q4" s="3"/>
      <c r="R4" s="3">
        <v>20</v>
      </c>
      <c r="S4" s="8">
        <f t="shared" si="2"/>
        <v>12956.040322853531</v>
      </c>
      <c r="T4" s="7">
        <f t="shared" si="3"/>
        <v>563</v>
      </c>
      <c r="U4" s="3">
        <v>563</v>
      </c>
      <c r="V4" s="8">
        <f t="shared" si="4"/>
        <v>0</v>
      </c>
      <c r="W4" s="8"/>
      <c r="X4" s="11">
        <f t="shared" si="5"/>
        <v>14136.144770865383</v>
      </c>
      <c r="Z4" s="63"/>
    </row>
    <row r="5" spans="1:26" ht="15.5" x14ac:dyDescent="0.35">
      <c r="A5" s="1">
        <v>1005</v>
      </c>
      <c r="B5" s="2" t="s">
        <v>23</v>
      </c>
      <c r="C5" s="3" t="s">
        <v>31</v>
      </c>
      <c r="D5" s="13">
        <v>45985</v>
      </c>
      <c r="E5" s="5">
        <v>45616</v>
      </c>
      <c r="F5" s="6">
        <v>45645</v>
      </c>
      <c r="G5" s="7">
        <v>3</v>
      </c>
      <c r="H5" s="7">
        <v>352</v>
      </c>
      <c r="I5" s="3">
        <v>60</v>
      </c>
      <c r="J5" s="14">
        <v>6974.6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0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0</v>
      </c>
      <c r="M5" s="8">
        <f t="shared" si="0"/>
        <v>6974.6</v>
      </c>
      <c r="N5" s="9">
        <f t="shared" si="1"/>
        <v>19.814204545454547</v>
      </c>
      <c r="O5" s="10">
        <v>52</v>
      </c>
      <c r="P5" s="3"/>
      <c r="Q5" s="3"/>
      <c r="R5" s="3"/>
      <c r="S5" s="8">
        <f t="shared" si="2"/>
        <v>1030.3386363636364</v>
      </c>
      <c r="T5" s="7">
        <f t="shared" si="3"/>
        <v>8</v>
      </c>
      <c r="U5" s="3">
        <v>0</v>
      </c>
      <c r="V5" s="8">
        <f t="shared" si="4"/>
        <v>158.51363636363638</v>
      </c>
      <c r="W5" s="8"/>
      <c r="X5" s="11">
        <f t="shared" si="5"/>
        <v>0</v>
      </c>
      <c r="Z5" s="63"/>
    </row>
    <row r="6" spans="1:26" ht="15.5" x14ac:dyDescent="0.35">
      <c r="A6" s="1">
        <v>1006</v>
      </c>
      <c r="B6" s="2" t="s">
        <v>23</v>
      </c>
      <c r="C6" s="3" t="s">
        <v>32</v>
      </c>
      <c r="D6" s="10" t="s">
        <v>27</v>
      </c>
      <c r="E6" s="5">
        <v>45617</v>
      </c>
      <c r="F6" s="6">
        <v>45635</v>
      </c>
      <c r="G6" s="7">
        <v>3</v>
      </c>
      <c r="H6" s="7">
        <v>328</v>
      </c>
      <c r="I6" s="3">
        <v>60</v>
      </c>
      <c r="J6" s="8">
        <v>9842.52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5261.220558121724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2037.8700653375772</v>
      </c>
      <c r="M6" s="8">
        <f t="shared" si="0"/>
        <v>17141.610623459303</v>
      </c>
      <c r="N6" s="9">
        <f t="shared" si="1"/>
        <v>52.261007998351531</v>
      </c>
      <c r="O6" s="10">
        <v>60</v>
      </c>
      <c r="P6" s="3"/>
      <c r="Q6" s="3"/>
      <c r="R6" s="3"/>
      <c r="S6" s="8">
        <f t="shared" si="2"/>
        <v>3135.660479901092</v>
      </c>
      <c r="T6" s="7">
        <f t="shared" si="3"/>
        <v>0</v>
      </c>
      <c r="U6" s="3">
        <v>0</v>
      </c>
      <c r="V6" s="8">
        <f t="shared" si="4"/>
        <v>0</v>
      </c>
      <c r="W6" s="8"/>
      <c r="X6" s="11">
        <f t="shared" si="5"/>
        <v>0</v>
      </c>
      <c r="Z6" s="63"/>
    </row>
    <row r="7" spans="1:26" ht="15.5" x14ac:dyDescent="0.35">
      <c r="A7" s="1">
        <v>1008</v>
      </c>
      <c r="B7" s="2" t="s">
        <v>23</v>
      </c>
      <c r="C7" s="3" t="s">
        <v>24</v>
      </c>
      <c r="D7" s="10" t="s">
        <v>27</v>
      </c>
      <c r="E7" s="5">
        <v>45624</v>
      </c>
      <c r="F7" s="6">
        <v>45637</v>
      </c>
      <c r="G7" s="7">
        <v>8</v>
      </c>
      <c r="H7" s="7">
        <v>900</v>
      </c>
      <c r="I7" s="3">
        <v>201</v>
      </c>
      <c r="J7" s="14">
        <v>17096.07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14029.921488324599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5434.3201742335395</v>
      </c>
      <c r="M7" s="8">
        <f t="shared" si="0"/>
        <v>36560.311662558139</v>
      </c>
      <c r="N7" s="9">
        <f t="shared" si="1"/>
        <v>40.622568513953489</v>
      </c>
      <c r="O7" s="10">
        <v>276</v>
      </c>
      <c r="P7" s="3"/>
      <c r="Q7" s="3"/>
      <c r="R7" s="3">
        <v>20</v>
      </c>
      <c r="S7" s="8">
        <f t="shared" si="2"/>
        <v>12024.280280130233</v>
      </c>
      <c r="T7" s="7">
        <f t="shared" si="3"/>
        <v>-95</v>
      </c>
      <c r="U7" s="15">
        <v>0</v>
      </c>
      <c r="V7" s="8">
        <f t="shared" si="4"/>
        <v>-3859.1440088255813</v>
      </c>
      <c r="W7" s="8"/>
      <c r="X7" s="11">
        <f t="shared" si="5"/>
        <v>0</v>
      </c>
      <c r="Z7" s="63"/>
    </row>
    <row r="8" spans="1:26" ht="15.5" x14ac:dyDescent="0.35">
      <c r="A8" s="1" t="s">
        <v>33</v>
      </c>
      <c r="B8" s="2" t="s">
        <v>29</v>
      </c>
      <c r="C8" s="3" t="s">
        <v>34</v>
      </c>
      <c r="D8" s="10" t="s">
        <v>27</v>
      </c>
      <c r="E8" s="5">
        <v>45625</v>
      </c>
      <c r="F8" s="6">
        <v>45643</v>
      </c>
      <c r="G8" s="7">
        <v>40</v>
      </c>
      <c r="H8" s="7">
        <v>4628</v>
      </c>
      <c r="I8" s="3">
        <v>452</v>
      </c>
      <c r="J8" s="8">
        <v>90230.14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42119.015628046502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31264.944488188979</v>
      </c>
      <c r="M8" s="8">
        <f t="shared" si="0"/>
        <v>163614.10011623547</v>
      </c>
      <c r="N8" s="9">
        <f t="shared" si="1"/>
        <v>35.353089912756154</v>
      </c>
      <c r="O8" s="10">
        <v>52</v>
      </c>
      <c r="P8" s="3">
        <v>300</v>
      </c>
      <c r="Q8" s="3"/>
      <c r="R8" s="3">
        <v>120</v>
      </c>
      <c r="S8" s="8">
        <f t="shared" si="2"/>
        <v>16686.658438820905</v>
      </c>
      <c r="T8" s="7">
        <f t="shared" si="3"/>
        <v>-20</v>
      </c>
      <c r="U8" s="16">
        <v>0</v>
      </c>
      <c r="V8" s="8">
        <f t="shared" si="4"/>
        <v>-707.06179825512311</v>
      </c>
      <c r="W8" s="8"/>
      <c r="X8" s="11">
        <f t="shared" si="5"/>
        <v>0</v>
      </c>
      <c r="Z8" s="63"/>
    </row>
    <row r="9" spans="1:26" ht="15.5" x14ac:dyDescent="0.35">
      <c r="A9" s="1">
        <v>1009</v>
      </c>
      <c r="B9" s="2" t="s">
        <v>23</v>
      </c>
      <c r="C9" s="3" t="s">
        <v>35</v>
      </c>
      <c r="D9" s="10" t="s">
        <v>27</v>
      </c>
      <c r="E9" s="5">
        <v>45625</v>
      </c>
      <c r="F9" s="6">
        <v>45647</v>
      </c>
      <c r="G9" s="7">
        <v>4</v>
      </c>
      <c r="H9" s="7">
        <v>472</v>
      </c>
      <c r="I9" s="3">
        <v>120</v>
      </c>
      <c r="J9" s="8">
        <v>6601.21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7014.9607441622993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2717.1600871167698</v>
      </c>
      <c r="M9" s="8">
        <f t="shared" si="0"/>
        <v>16333.33083127907</v>
      </c>
      <c r="N9" s="9">
        <f t="shared" si="1"/>
        <v>34.60451447304888</v>
      </c>
      <c r="O9" s="10">
        <v>60</v>
      </c>
      <c r="P9" s="3">
        <v>60</v>
      </c>
      <c r="Q9" s="3"/>
      <c r="R9" s="3"/>
      <c r="S9" s="8">
        <f t="shared" si="2"/>
        <v>4152.5417367658656</v>
      </c>
      <c r="T9" s="7">
        <f t="shared" si="3"/>
        <v>0</v>
      </c>
      <c r="U9" s="3">
        <v>0</v>
      </c>
      <c r="V9" s="8">
        <f t="shared" si="4"/>
        <v>0</v>
      </c>
      <c r="W9" s="8"/>
      <c r="X9" s="11">
        <f t="shared" si="5"/>
        <v>0</v>
      </c>
      <c r="Z9" s="63"/>
    </row>
    <row r="10" spans="1:26" ht="15.5" x14ac:dyDescent="0.35">
      <c r="A10" s="1">
        <v>1011</v>
      </c>
      <c r="B10" s="2" t="s">
        <v>23</v>
      </c>
      <c r="C10" s="3" t="s">
        <v>36</v>
      </c>
      <c r="D10" s="4" t="s">
        <v>37</v>
      </c>
      <c r="E10" s="5">
        <v>45631</v>
      </c>
      <c r="F10" s="6">
        <v>45650</v>
      </c>
      <c r="G10" s="7">
        <v>8</v>
      </c>
      <c r="H10" s="7">
        <v>893</v>
      </c>
      <c r="I10" s="3">
        <v>631</v>
      </c>
      <c r="J10" s="8">
        <v>15229.09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14051.155295375314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5161.6757245769804</v>
      </c>
      <c r="M10" s="8">
        <f t="shared" si="0"/>
        <v>34441.921019952293</v>
      </c>
      <c r="N10" s="9">
        <f t="shared" si="1"/>
        <v>38.568780537460576</v>
      </c>
      <c r="O10" s="10">
        <v>436</v>
      </c>
      <c r="P10" s="3">
        <v>173</v>
      </c>
      <c r="Q10" s="3"/>
      <c r="R10" s="3">
        <v>20</v>
      </c>
      <c r="S10" s="8">
        <f t="shared" si="2"/>
        <v>24259.762958062704</v>
      </c>
      <c r="T10" s="7">
        <f t="shared" si="3"/>
        <v>2</v>
      </c>
      <c r="U10" s="3">
        <v>0</v>
      </c>
      <c r="V10" s="8">
        <f t="shared" si="4"/>
        <v>77.137561074921152</v>
      </c>
      <c r="W10" s="8"/>
      <c r="X10" s="11">
        <f t="shared" si="5"/>
        <v>0</v>
      </c>
      <c r="Z10" s="63"/>
    </row>
    <row r="11" spans="1:26" ht="15.5" x14ac:dyDescent="0.35">
      <c r="A11" s="1" t="s">
        <v>38</v>
      </c>
      <c r="B11" s="2" t="s">
        <v>29</v>
      </c>
      <c r="C11" s="3" t="s">
        <v>39</v>
      </c>
      <c r="D11" s="4" t="s">
        <v>37</v>
      </c>
      <c r="E11" s="5">
        <v>45638</v>
      </c>
      <c r="F11" s="6">
        <v>45649</v>
      </c>
      <c r="G11" s="7">
        <v>20</v>
      </c>
      <c r="H11" s="7">
        <v>2400</v>
      </c>
      <c r="I11" s="3">
        <v>1130</v>
      </c>
      <c r="J11" s="8">
        <v>15039.39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21091.380659917515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16797.143779527549</v>
      </c>
      <c r="M11" s="8">
        <f t="shared" si="0"/>
        <v>52927.914439445063</v>
      </c>
      <c r="N11" s="9">
        <f t="shared" si="1"/>
        <v>22.053297683102109</v>
      </c>
      <c r="O11" s="10">
        <v>698</v>
      </c>
      <c r="P11" s="3">
        <v>240</v>
      </c>
      <c r="Q11" s="3"/>
      <c r="R11" s="3">
        <v>180</v>
      </c>
      <c r="S11" s="8">
        <f t="shared" si="2"/>
        <v>24655.586809708158</v>
      </c>
      <c r="T11" s="7">
        <f t="shared" si="3"/>
        <v>12</v>
      </c>
      <c r="U11" s="3">
        <v>0</v>
      </c>
      <c r="V11" s="8">
        <f t="shared" si="4"/>
        <v>264.63957219722533</v>
      </c>
      <c r="W11" s="8"/>
      <c r="X11" s="11">
        <f t="shared" si="5"/>
        <v>0</v>
      </c>
      <c r="Z11" s="63"/>
    </row>
    <row r="12" spans="1:26" ht="15.5" x14ac:dyDescent="0.35">
      <c r="A12" s="1">
        <v>1012</v>
      </c>
      <c r="B12" s="2" t="s">
        <v>23</v>
      </c>
      <c r="C12" s="3" t="s">
        <v>40</v>
      </c>
      <c r="D12" s="10" t="s">
        <v>37</v>
      </c>
      <c r="E12" s="5">
        <v>45637</v>
      </c>
      <c r="F12" s="6">
        <v>45653</v>
      </c>
      <c r="G12" s="7">
        <v>3</v>
      </c>
      <c r="H12" s="7">
        <v>388</v>
      </c>
      <c r="I12" s="3">
        <v>208</v>
      </c>
      <c r="J12" s="8">
        <v>8697.5400000000009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5269.1832357657431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1935.6283967163677</v>
      </c>
      <c r="M12" s="8">
        <f t="shared" si="0"/>
        <v>15902.351632482112</v>
      </c>
      <c r="N12" s="9">
        <f t="shared" si="1"/>
        <v>40.985442351758024</v>
      </c>
      <c r="O12" s="10">
        <v>148</v>
      </c>
      <c r="P12" s="3">
        <v>60</v>
      </c>
      <c r="Q12" s="3"/>
      <c r="R12" s="3"/>
      <c r="S12" s="8">
        <f t="shared" si="2"/>
        <v>8524.9720091656691</v>
      </c>
      <c r="T12" s="7">
        <f t="shared" si="3"/>
        <v>0</v>
      </c>
      <c r="U12" s="3">
        <v>0</v>
      </c>
      <c r="V12" s="8">
        <f t="shared" si="4"/>
        <v>0</v>
      </c>
      <c r="W12" s="8"/>
      <c r="X12" s="11">
        <f t="shared" si="5"/>
        <v>0</v>
      </c>
      <c r="Z12" s="63"/>
    </row>
    <row r="13" spans="1:26" ht="15.5" x14ac:dyDescent="0.35">
      <c r="A13" s="1">
        <v>1013</v>
      </c>
      <c r="B13" s="2" t="s">
        <v>23</v>
      </c>
      <c r="C13" s="3" t="s">
        <v>41</v>
      </c>
      <c r="D13" s="10" t="s">
        <v>37</v>
      </c>
      <c r="E13" s="5">
        <v>45639</v>
      </c>
      <c r="F13" s="6">
        <v>45654</v>
      </c>
      <c r="G13" s="7">
        <v>8</v>
      </c>
      <c r="H13" s="7">
        <v>885</v>
      </c>
      <c r="I13" s="3">
        <v>525</v>
      </c>
      <c r="J13" s="8">
        <v>15661.61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14051.155295375314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5161.6757245769804</v>
      </c>
      <c r="M13" s="8">
        <f t="shared" si="0"/>
        <v>34874.441019952297</v>
      </c>
      <c r="N13" s="9">
        <f t="shared" si="1"/>
        <v>39.406148045143837</v>
      </c>
      <c r="O13" s="10">
        <v>278</v>
      </c>
      <c r="P13" s="3">
        <v>225</v>
      </c>
      <c r="Q13" s="3"/>
      <c r="R13" s="3">
        <v>20</v>
      </c>
      <c r="S13" s="8">
        <f t="shared" si="2"/>
        <v>20609.415427610227</v>
      </c>
      <c r="T13" s="7">
        <f t="shared" si="3"/>
        <v>2</v>
      </c>
      <c r="U13" s="3">
        <v>0</v>
      </c>
      <c r="V13" s="8">
        <f t="shared" si="4"/>
        <v>78.812296090287674</v>
      </c>
      <c r="W13" s="8"/>
      <c r="X13" s="11">
        <f t="shared" si="5"/>
        <v>0</v>
      </c>
      <c r="Z13" s="63"/>
    </row>
    <row r="14" spans="1:26" ht="15.5" x14ac:dyDescent="0.35">
      <c r="A14" s="1">
        <v>1014</v>
      </c>
      <c r="B14" s="2" t="s">
        <v>23</v>
      </c>
      <c r="C14" s="3" t="s">
        <v>42</v>
      </c>
      <c r="D14" s="10" t="s">
        <v>37</v>
      </c>
      <c r="E14" s="5">
        <v>45644</v>
      </c>
      <c r="F14" s="6">
        <v>45667</v>
      </c>
      <c r="G14" s="7">
        <v>4</v>
      </c>
      <c r="H14" s="7">
        <v>412</v>
      </c>
      <c r="I14" s="7"/>
      <c r="J14" s="8">
        <v>6479.95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7025.5776476876572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2580.8378622884902</v>
      </c>
      <c r="M14" s="8">
        <f t="shared" si="0"/>
        <v>16086.365509976147</v>
      </c>
      <c r="N14" s="9">
        <f t="shared" si="1"/>
        <v>39.044576480524633</v>
      </c>
      <c r="O14" s="10">
        <v>230</v>
      </c>
      <c r="P14" s="3">
        <v>120</v>
      </c>
      <c r="Q14" s="3"/>
      <c r="R14" s="3">
        <v>10</v>
      </c>
      <c r="S14" s="8">
        <f t="shared" si="2"/>
        <v>14056.047532988869</v>
      </c>
      <c r="T14" s="7">
        <f t="shared" si="3"/>
        <v>52</v>
      </c>
      <c r="U14" s="3">
        <v>50</v>
      </c>
      <c r="V14" s="8">
        <f t="shared" si="4"/>
        <v>78.089152961049265</v>
      </c>
      <c r="W14" s="8"/>
      <c r="X14" s="11">
        <f t="shared" si="5"/>
        <v>1952.2288240262317</v>
      </c>
      <c r="Z14" s="63"/>
    </row>
    <row r="15" spans="1:26" ht="15.5" x14ac:dyDescent="0.35">
      <c r="A15" s="1" t="s">
        <v>43</v>
      </c>
      <c r="B15" s="2" t="s">
        <v>29</v>
      </c>
      <c r="C15" s="3" t="s">
        <v>34</v>
      </c>
      <c r="D15" s="10" t="s">
        <v>37</v>
      </c>
      <c r="E15" s="5">
        <v>45645</v>
      </c>
      <c r="F15" s="6">
        <v>45661</v>
      </c>
      <c r="G15" s="7">
        <v>40</v>
      </c>
      <c r="H15" s="7">
        <v>4508</v>
      </c>
      <c r="I15" s="7"/>
      <c r="J15" s="8">
        <v>78914.59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42182.76131983503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33594.287559055098</v>
      </c>
      <c r="M15" s="8">
        <f t="shared" si="0"/>
        <v>154691.63887889014</v>
      </c>
      <c r="N15" s="9">
        <f t="shared" si="1"/>
        <v>34.314915456719199</v>
      </c>
      <c r="O15" s="10">
        <v>2506</v>
      </c>
      <c r="P15" s="3">
        <v>900</v>
      </c>
      <c r="Q15" s="3"/>
      <c r="R15" s="3">
        <v>1090</v>
      </c>
      <c r="S15" s="8">
        <f t="shared" si="2"/>
        <v>154279.85989340951</v>
      </c>
      <c r="T15" s="7">
        <f t="shared" si="3"/>
        <v>12</v>
      </c>
      <c r="U15" s="3">
        <v>0</v>
      </c>
      <c r="V15" s="8">
        <f t="shared" si="4"/>
        <v>411.77898548063035</v>
      </c>
      <c r="W15" s="8"/>
      <c r="X15" s="11">
        <f t="shared" si="5"/>
        <v>0</v>
      </c>
      <c r="Z15" s="63"/>
    </row>
    <row r="16" spans="1:26" ht="15.5" x14ac:dyDescent="0.35">
      <c r="A16" s="1">
        <v>1015</v>
      </c>
      <c r="B16" s="2" t="s">
        <v>23</v>
      </c>
      <c r="C16" s="3" t="s">
        <v>44</v>
      </c>
      <c r="D16" s="10" t="s">
        <v>37</v>
      </c>
      <c r="E16" s="5">
        <v>45645</v>
      </c>
      <c r="F16" s="6">
        <v>45659</v>
      </c>
      <c r="G16" s="7">
        <v>3</v>
      </c>
      <c r="H16" s="7">
        <v>360</v>
      </c>
      <c r="I16" s="7"/>
      <c r="J16" s="8">
        <v>6560.22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5269.1832357657431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1935.6283967163677</v>
      </c>
      <c r="M16" s="8">
        <f t="shared" si="0"/>
        <v>13765.031632482111</v>
      </c>
      <c r="N16" s="9">
        <f t="shared" si="1"/>
        <v>38.236198979116971</v>
      </c>
      <c r="O16" s="10">
        <v>278</v>
      </c>
      <c r="P16" s="3">
        <v>60</v>
      </c>
      <c r="Q16" s="3"/>
      <c r="R16" s="3">
        <v>20</v>
      </c>
      <c r="S16" s="8">
        <f t="shared" si="2"/>
        <v>13688.559234523875</v>
      </c>
      <c r="T16" s="7">
        <f t="shared" si="3"/>
        <v>2</v>
      </c>
      <c r="U16" s="3">
        <v>0</v>
      </c>
      <c r="V16" s="8">
        <f t="shared" si="4"/>
        <v>76.472397958233941</v>
      </c>
      <c r="W16" s="8"/>
      <c r="X16" s="11">
        <f t="shared" si="5"/>
        <v>0</v>
      </c>
      <c r="Z16" s="63"/>
    </row>
    <row r="17" spans="1:26" ht="15.5" x14ac:dyDescent="0.35">
      <c r="A17" s="1">
        <v>1016</v>
      </c>
      <c r="B17" s="2" t="s">
        <v>23</v>
      </c>
      <c r="C17" s="3" t="s">
        <v>45</v>
      </c>
      <c r="D17" s="10" t="s">
        <v>37</v>
      </c>
      <c r="E17" s="5">
        <v>45646</v>
      </c>
      <c r="F17" s="6">
        <v>45661</v>
      </c>
      <c r="G17" s="7">
        <v>3</v>
      </c>
      <c r="H17" s="7">
        <v>360</v>
      </c>
      <c r="I17" s="7"/>
      <c r="J17" s="17">
        <v>5094.8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5269.1832357657431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1935.6283967163677</v>
      </c>
      <c r="M17" s="8">
        <f t="shared" si="0"/>
        <v>12299.611632482111</v>
      </c>
      <c r="N17" s="9">
        <f t="shared" si="1"/>
        <v>34.165587868005865</v>
      </c>
      <c r="O17" s="10">
        <v>240</v>
      </c>
      <c r="P17" s="3">
        <v>120</v>
      </c>
      <c r="Q17" s="3"/>
      <c r="R17" s="3"/>
      <c r="S17" s="8">
        <f t="shared" si="2"/>
        <v>12299.611632482111</v>
      </c>
      <c r="T17" s="7">
        <f t="shared" si="3"/>
        <v>0</v>
      </c>
      <c r="U17" s="3">
        <v>0</v>
      </c>
      <c r="V17" s="8">
        <f t="shared" si="4"/>
        <v>0</v>
      </c>
      <c r="W17" s="8"/>
      <c r="X17" s="11">
        <f t="shared" si="5"/>
        <v>0</v>
      </c>
      <c r="Z17" s="63"/>
    </row>
    <row r="18" spans="1:26" ht="15.5" x14ac:dyDescent="0.35">
      <c r="A18" s="1" t="s">
        <v>46</v>
      </c>
      <c r="B18" s="2" t="s">
        <v>29</v>
      </c>
      <c r="C18" s="3" t="s">
        <v>47</v>
      </c>
      <c r="D18" s="10" t="s">
        <v>37</v>
      </c>
      <c r="E18" s="5">
        <v>45646</v>
      </c>
      <c r="F18" s="6">
        <v>45659</v>
      </c>
      <c r="G18" s="7">
        <v>20</v>
      </c>
      <c r="H18" s="7">
        <v>2407</v>
      </c>
      <c r="I18" s="7"/>
      <c r="J18" s="8">
        <v>30187.51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21091.380659917515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16797.143779527549</v>
      </c>
      <c r="M18" s="8">
        <f t="shared" si="0"/>
        <v>68076.034439445066</v>
      </c>
      <c r="N18" s="9">
        <f t="shared" si="1"/>
        <v>28.282523655772774</v>
      </c>
      <c r="O18" s="10">
        <v>1361</v>
      </c>
      <c r="P18" s="3">
        <v>420</v>
      </c>
      <c r="Q18" s="3"/>
      <c r="R18" s="3">
        <v>390</v>
      </c>
      <c r="S18" s="8">
        <f t="shared" si="2"/>
        <v>61401.358856682695</v>
      </c>
      <c r="T18" s="7">
        <f t="shared" si="3"/>
        <v>236</v>
      </c>
      <c r="U18" s="3">
        <v>236</v>
      </c>
      <c r="V18" s="8">
        <f t="shared" si="4"/>
        <v>0</v>
      </c>
      <c r="W18" s="8"/>
      <c r="X18" s="11">
        <f t="shared" si="5"/>
        <v>6674.6755827623747</v>
      </c>
      <c r="Z18" s="63"/>
    </row>
    <row r="19" spans="1:26" ht="15.5" x14ac:dyDescent="0.35">
      <c r="A19" s="1">
        <v>1017</v>
      </c>
      <c r="B19" s="2" t="s">
        <v>23</v>
      </c>
      <c r="C19" s="3" t="s">
        <v>35</v>
      </c>
      <c r="D19" s="10" t="s">
        <v>37</v>
      </c>
      <c r="E19" s="5">
        <v>45649</v>
      </c>
      <c r="F19" s="6">
        <v>45663</v>
      </c>
      <c r="G19" s="7">
        <v>4</v>
      </c>
      <c r="H19" s="7">
        <v>480</v>
      </c>
      <c r="I19" s="7"/>
      <c r="J19" s="8">
        <v>6880.65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7025.5776476876572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2580.8378622884902</v>
      </c>
      <c r="M19" s="8">
        <f t="shared" si="0"/>
        <v>16487.06550997615</v>
      </c>
      <c r="N19" s="9">
        <f t="shared" si="1"/>
        <v>34.348053145783645</v>
      </c>
      <c r="O19" s="10">
        <v>194</v>
      </c>
      <c r="P19" s="3">
        <v>206</v>
      </c>
      <c r="Q19" s="3"/>
      <c r="R19" s="3">
        <v>80</v>
      </c>
      <c r="S19" s="8">
        <f t="shared" si="2"/>
        <v>16487.06550997615</v>
      </c>
      <c r="T19" s="7">
        <f t="shared" si="3"/>
        <v>0</v>
      </c>
      <c r="U19" s="3">
        <v>0</v>
      </c>
      <c r="V19" s="8">
        <f t="shared" si="4"/>
        <v>0</v>
      </c>
      <c r="W19" s="8"/>
      <c r="X19" s="11">
        <f t="shared" si="5"/>
        <v>0</v>
      </c>
      <c r="Z19" s="63"/>
    </row>
    <row r="20" spans="1:26" ht="15.5" x14ac:dyDescent="0.35">
      <c r="A20" s="1">
        <v>1018</v>
      </c>
      <c r="B20" s="2" t="s">
        <v>23</v>
      </c>
      <c r="C20" s="3" t="s">
        <v>48</v>
      </c>
      <c r="D20" s="10" t="s">
        <v>37</v>
      </c>
      <c r="E20" s="5">
        <v>45653</v>
      </c>
      <c r="F20" s="6">
        <v>45677</v>
      </c>
      <c r="G20" s="7">
        <v>8</v>
      </c>
      <c r="H20" s="7">
        <v>882</v>
      </c>
      <c r="I20" s="7"/>
      <c r="J20" s="8">
        <v>14571.75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14051.155295375314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5161.6757245769804</v>
      </c>
      <c r="M20" s="8">
        <f t="shared" si="0"/>
        <v>33784.581019952297</v>
      </c>
      <c r="N20" s="9">
        <f t="shared" si="1"/>
        <v>38.30451362806383</v>
      </c>
      <c r="O20" s="10">
        <v>180</v>
      </c>
      <c r="P20" s="3">
        <v>60</v>
      </c>
      <c r="Q20" s="3"/>
      <c r="R20" s="3"/>
      <c r="S20" s="8">
        <f t="shared" si="2"/>
        <v>9193.0832707353184</v>
      </c>
      <c r="T20" s="7">
        <f t="shared" si="3"/>
        <v>642</v>
      </c>
      <c r="U20" s="3">
        <v>642</v>
      </c>
      <c r="V20" s="8">
        <f t="shared" si="4"/>
        <v>0</v>
      </c>
      <c r="W20" s="8"/>
      <c r="X20" s="11">
        <f t="shared" si="5"/>
        <v>24591.497749216978</v>
      </c>
      <c r="Z20" s="63"/>
    </row>
    <row r="21" spans="1:26" ht="15.5" x14ac:dyDescent="0.35">
      <c r="A21" s="1">
        <v>1019</v>
      </c>
      <c r="B21" s="2" t="s">
        <v>23</v>
      </c>
      <c r="C21" s="3" t="s">
        <v>49</v>
      </c>
      <c r="D21" s="10" t="s">
        <v>37</v>
      </c>
      <c r="E21" s="5">
        <v>45656</v>
      </c>
      <c r="F21" s="6">
        <v>45678</v>
      </c>
      <c r="G21" s="7">
        <v>3</v>
      </c>
      <c r="H21" s="7">
        <v>325</v>
      </c>
      <c r="I21" s="7"/>
      <c r="J21" s="8">
        <v>10002.84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5269.1832357657431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1935.6283967163677</v>
      </c>
      <c r="M21" s="8">
        <f t="shared" si="0"/>
        <v>17207.651632482113</v>
      </c>
      <c r="N21" s="9">
        <f t="shared" si="1"/>
        <v>52.946620407637269</v>
      </c>
      <c r="O21" s="10">
        <v>120</v>
      </c>
      <c r="P21" s="3"/>
      <c r="Q21" s="3"/>
      <c r="R21" s="3"/>
      <c r="S21" s="8">
        <f t="shared" si="2"/>
        <v>6353.5944489164722</v>
      </c>
      <c r="T21" s="7">
        <f t="shared" si="3"/>
        <v>205</v>
      </c>
      <c r="U21" s="3">
        <v>205</v>
      </c>
      <c r="V21" s="8">
        <f t="shared" si="4"/>
        <v>0</v>
      </c>
      <c r="W21" s="8"/>
      <c r="X21" s="11">
        <f t="shared" si="5"/>
        <v>10854.057183565641</v>
      </c>
      <c r="Z21" s="63"/>
    </row>
    <row r="22" spans="1:26" ht="15.5" x14ac:dyDescent="0.35">
      <c r="A22" s="1" t="s">
        <v>50</v>
      </c>
      <c r="B22" s="2" t="s">
        <v>29</v>
      </c>
      <c r="C22" s="3" t="s">
        <v>34</v>
      </c>
      <c r="D22" s="18" t="str">
        <f>IF(E22="","-",(TEXT(E22,"MMM")))</f>
        <v>ene</v>
      </c>
      <c r="E22" s="5">
        <v>45660</v>
      </c>
      <c r="F22" s="6">
        <v>45682</v>
      </c>
      <c r="G22" s="7">
        <v>40</v>
      </c>
      <c r="H22" s="7">
        <v>4526</v>
      </c>
      <c r="I22" s="7"/>
      <c r="J22" s="8">
        <v>92019.16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29252.902670174193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20936.64671575847</v>
      </c>
      <c r="M22" s="8">
        <f t="shared" si="0"/>
        <v>142208.70938593266</v>
      </c>
      <c r="N22" s="9">
        <f t="shared" si="1"/>
        <v>31.420395357033286</v>
      </c>
      <c r="O22" s="10">
        <v>353</v>
      </c>
      <c r="P22" s="3">
        <v>420</v>
      </c>
      <c r="Q22" s="3"/>
      <c r="R22" s="3">
        <v>230</v>
      </c>
      <c r="S22" s="8">
        <f t="shared" si="2"/>
        <v>31514.656543104385</v>
      </c>
      <c r="T22" s="7">
        <f t="shared" si="3"/>
        <v>3523</v>
      </c>
      <c r="U22" s="3">
        <v>3523</v>
      </c>
      <c r="V22" s="8">
        <f t="shared" si="4"/>
        <v>0</v>
      </c>
      <c r="W22" s="8"/>
      <c r="X22" s="11">
        <f t="shared" si="5"/>
        <v>110694.05284282827</v>
      </c>
      <c r="Z22" s="63"/>
    </row>
    <row r="23" spans="1:26" ht="15.5" x14ac:dyDescent="0.35">
      <c r="A23" s="1">
        <v>1020</v>
      </c>
      <c r="B23" s="2" t="s">
        <v>23</v>
      </c>
      <c r="C23" s="3" t="s">
        <v>24</v>
      </c>
      <c r="D23" s="18" t="str">
        <f t="shared" ref="D22:D42" si="6">IF(E23="","-",(TEXT(E23,"MMM")))</f>
        <v>ene</v>
      </c>
      <c r="E23" s="5">
        <v>45660</v>
      </c>
      <c r="F23" s="6">
        <v>45670</v>
      </c>
      <c r="G23" s="7">
        <v>8</v>
      </c>
      <c r="H23" s="7">
        <v>862</v>
      </c>
      <c r="I23" s="7"/>
      <c r="J23" s="17">
        <v>16545.11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10019.589252502272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4406.7165177548677</v>
      </c>
      <c r="M23" s="8">
        <f t="shared" si="0"/>
        <v>30971.415770257139</v>
      </c>
      <c r="N23" s="9">
        <f t="shared" si="1"/>
        <v>35.929716670831951</v>
      </c>
      <c r="O23" s="10">
        <v>398</v>
      </c>
      <c r="P23" s="3">
        <v>142</v>
      </c>
      <c r="Q23" s="3"/>
      <c r="R23" s="3">
        <v>20</v>
      </c>
      <c r="S23" s="8">
        <f t="shared" si="2"/>
        <v>20120.641335665892</v>
      </c>
      <c r="T23" s="7">
        <f t="shared" si="3"/>
        <v>302</v>
      </c>
      <c r="U23" s="3">
        <v>302</v>
      </c>
      <c r="V23" s="8">
        <f t="shared" si="4"/>
        <v>0</v>
      </c>
      <c r="W23" s="8"/>
      <c r="X23" s="11">
        <f t="shared" si="5"/>
        <v>10850.774434591249</v>
      </c>
      <c r="Z23" s="63"/>
    </row>
    <row r="24" spans="1:26" ht="15.5" x14ac:dyDescent="0.35">
      <c r="A24" s="1">
        <v>1021</v>
      </c>
      <c r="B24" s="2" t="s">
        <v>23</v>
      </c>
      <c r="C24" s="3" t="s">
        <v>32</v>
      </c>
      <c r="D24" s="18" t="str">
        <f t="shared" si="6"/>
        <v>ene</v>
      </c>
      <c r="E24" s="5">
        <v>45664</v>
      </c>
      <c r="F24" s="6">
        <v>45681</v>
      </c>
      <c r="G24" s="7">
        <v>3</v>
      </c>
      <c r="H24" s="7">
        <v>360</v>
      </c>
      <c r="I24" s="7"/>
      <c r="J24" s="8">
        <v>9634.4699999999993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3757.3459696883519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1652.5186941580755</v>
      </c>
      <c r="M24" s="8">
        <f t="shared" si="0"/>
        <v>15044.334663846428</v>
      </c>
      <c r="N24" s="9">
        <f t="shared" si="1"/>
        <v>41.789818510684526</v>
      </c>
      <c r="O24" s="10">
        <v>60</v>
      </c>
      <c r="P24" s="3"/>
      <c r="Q24" s="3"/>
      <c r="R24" s="3"/>
      <c r="S24" s="8">
        <f t="shared" si="2"/>
        <v>2507.3891106410715</v>
      </c>
      <c r="T24" s="7">
        <f t="shared" si="3"/>
        <v>300</v>
      </c>
      <c r="U24" s="3">
        <v>300</v>
      </c>
      <c r="V24" s="8">
        <f t="shared" si="4"/>
        <v>0</v>
      </c>
      <c r="W24" s="8"/>
      <c r="X24" s="11">
        <f t="shared" si="5"/>
        <v>12536.945553205358</v>
      </c>
    </row>
    <row r="25" spans="1:26" ht="15.5" x14ac:dyDescent="0.35">
      <c r="A25" s="1" t="s">
        <v>51</v>
      </c>
      <c r="B25" s="2" t="s">
        <v>29</v>
      </c>
      <c r="C25" s="3" t="s">
        <v>39</v>
      </c>
      <c r="D25" s="18" t="str">
        <f t="shared" si="6"/>
        <v>ene</v>
      </c>
      <c r="E25" s="5">
        <v>45665</v>
      </c>
      <c r="F25" s="6">
        <v>45675</v>
      </c>
      <c r="G25" s="7">
        <v>20</v>
      </c>
      <c r="H25" s="7">
        <v>2490</v>
      </c>
      <c r="I25" s="7"/>
      <c r="J25" s="8">
        <v>14243.29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14626.451335087097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10468.323357879235</v>
      </c>
      <c r="M25" s="8">
        <f t="shared" si="0"/>
        <v>39338.064692966334</v>
      </c>
      <c r="N25" s="9">
        <f t="shared" si="1"/>
        <v>15.798419555408167</v>
      </c>
      <c r="O25" s="10">
        <v>1106</v>
      </c>
      <c r="P25" s="3">
        <v>120</v>
      </c>
      <c r="Q25" s="3"/>
      <c r="R25" s="3">
        <v>220</v>
      </c>
      <c r="S25" s="8">
        <f t="shared" si="2"/>
        <v>22844.514677120209</v>
      </c>
      <c r="T25" s="7">
        <f t="shared" si="3"/>
        <v>1044</v>
      </c>
      <c r="U25" s="3">
        <v>1044</v>
      </c>
      <c r="V25" s="8">
        <f t="shared" si="4"/>
        <v>0</v>
      </c>
      <c r="W25" s="8"/>
      <c r="X25" s="11">
        <f t="shared" si="5"/>
        <v>16493.550015846125</v>
      </c>
    </row>
    <row r="26" spans="1:26" ht="15.5" x14ac:dyDescent="0.35">
      <c r="A26" s="1">
        <v>1022</v>
      </c>
      <c r="B26" s="2" t="s">
        <v>23</v>
      </c>
      <c r="C26" s="3" t="s">
        <v>52</v>
      </c>
      <c r="D26" s="18" t="str">
        <f t="shared" si="6"/>
        <v>ene</v>
      </c>
      <c r="E26" s="5">
        <v>45666</v>
      </c>
      <c r="F26" s="6">
        <v>45694</v>
      </c>
      <c r="G26" s="7">
        <v>4</v>
      </c>
      <c r="H26" s="7">
        <v>430</v>
      </c>
      <c r="I26" s="7"/>
      <c r="J26" s="8">
        <v>6646.82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5009.7946262511359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2203.3582588774339</v>
      </c>
      <c r="M26" s="8">
        <f t="shared" si="0"/>
        <v>13859.972885128569</v>
      </c>
      <c r="N26" s="9">
        <f t="shared" si="1"/>
        <v>32.232495081694346</v>
      </c>
      <c r="O26" s="10"/>
      <c r="P26" s="3"/>
      <c r="Q26" s="3"/>
      <c r="R26" s="3"/>
      <c r="S26" s="8">
        <f t="shared" si="2"/>
        <v>0</v>
      </c>
      <c r="T26" s="7">
        <f t="shared" si="3"/>
        <v>430</v>
      </c>
      <c r="U26" s="3"/>
      <c r="V26" s="8">
        <f t="shared" si="4"/>
        <v>13859.972885128569</v>
      </c>
      <c r="W26" s="8"/>
      <c r="X26" s="11">
        <f t="shared" si="5"/>
        <v>0</v>
      </c>
    </row>
    <row r="27" spans="1:26" ht="15.5" x14ac:dyDescent="0.35">
      <c r="A27" s="1">
        <v>1023</v>
      </c>
      <c r="B27" s="2" t="s">
        <v>23</v>
      </c>
      <c r="C27" s="3" t="s">
        <v>53</v>
      </c>
      <c r="D27" s="18" t="str">
        <f t="shared" si="6"/>
        <v>ene</v>
      </c>
      <c r="E27" s="5">
        <v>45667</v>
      </c>
      <c r="F27" s="6">
        <v>45691</v>
      </c>
      <c r="G27" s="7">
        <v>3</v>
      </c>
      <c r="H27" s="7">
        <v>343</v>
      </c>
      <c r="I27" s="7"/>
      <c r="J27" s="8">
        <v>6250.04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3757.3459696883519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1652.5186941580755</v>
      </c>
      <c r="M27" s="8">
        <f t="shared" si="0"/>
        <v>11659.904663846428</v>
      </c>
      <c r="N27" s="9">
        <f t="shared" si="1"/>
        <v>33.993891148240316</v>
      </c>
      <c r="O27" s="10"/>
      <c r="P27" s="3"/>
      <c r="Q27" s="3"/>
      <c r="R27" s="3"/>
      <c r="S27" s="8">
        <f t="shared" si="2"/>
        <v>0</v>
      </c>
      <c r="T27" s="7">
        <f t="shared" si="3"/>
        <v>343</v>
      </c>
      <c r="U27" s="3"/>
      <c r="V27" s="8">
        <f t="shared" si="4"/>
        <v>11659.904663846428</v>
      </c>
      <c r="W27" s="8"/>
      <c r="X27" s="11">
        <f t="shared" si="5"/>
        <v>0</v>
      </c>
    </row>
    <row r="28" spans="1:26" ht="15.5" x14ac:dyDescent="0.35">
      <c r="A28" s="1">
        <v>1024</v>
      </c>
      <c r="B28" s="2" t="s">
        <v>23</v>
      </c>
      <c r="C28" s="3" t="s">
        <v>35</v>
      </c>
      <c r="D28" s="18" t="str">
        <f t="shared" si="6"/>
        <v>ene</v>
      </c>
      <c r="E28" s="5">
        <v>45671</v>
      </c>
      <c r="F28" s="6">
        <v>45682</v>
      </c>
      <c r="G28" s="7">
        <v>4</v>
      </c>
      <c r="H28" s="7">
        <v>447</v>
      </c>
      <c r="I28" s="7"/>
      <c r="J28" s="8">
        <v>5734.58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5009.7946262511359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2203.3582588774339</v>
      </c>
      <c r="M28" s="8">
        <f t="shared" si="0"/>
        <v>12947.732885128569</v>
      </c>
      <c r="N28" s="9">
        <f t="shared" si="1"/>
        <v>28.965845380600825</v>
      </c>
      <c r="O28" s="10">
        <v>222</v>
      </c>
      <c r="P28" s="3"/>
      <c r="Q28" s="3"/>
      <c r="R28" s="3">
        <v>40</v>
      </c>
      <c r="S28" s="8">
        <f t="shared" si="2"/>
        <v>7589.0514897174162</v>
      </c>
      <c r="T28" s="7">
        <f t="shared" si="3"/>
        <v>185</v>
      </c>
      <c r="U28" s="3">
        <v>185</v>
      </c>
      <c r="V28" s="8">
        <f t="shared" si="4"/>
        <v>0</v>
      </c>
      <c r="W28" s="8"/>
      <c r="X28" s="11">
        <f t="shared" si="5"/>
        <v>5358.6813954111531</v>
      </c>
    </row>
    <row r="29" spans="1:26" ht="15.5" x14ac:dyDescent="0.35">
      <c r="A29" s="1">
        <v>1025</v>
      </c>
      <c r="B29" s="2" t="s">
        <v>23</v>
      </c>
      <c r="C29" s="3" t="s">
        <v>41</v>
      </c>
      <c r="D29" s="18" t="str">
        <f t="shared" si="6"/>
        <v>ene</v>
      </c>
      <c r="E29" s="5">
        <v>45673</v>
      </c>
      <c r="F29" s="6">
        <v>45686</v>
      </c>
      <c r="G29" s="7">
        <v>8</v>
      </c>
      <c r="H29" s="7">
        <v>840</v>
      </c>
      <c r="I29" s="7"/>
      <c r="J29" s="8">
        <v>16307.18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10019.589252502272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4406.7165177548677</v>
      </c>
      <c r="M29" s="8">
        <f t="shared" si="0"/>
        <v>30733.485770257139</v>
      </c>
      <c r="N29" s="9">
        <f t="shared" si="1"/>
        <v>36.587483059829928</v>
      </c>
      <c r="O29" s="10">
        <v>198</v>
      </c>
      <c r="P29" s="3">
        <v>60</v>
      </c>
      <c r="Q29" s="3"/>
      <c r="R29" s="3">
        <v>80</v>
      </c>
      <c r="S29" s="8">
        <f t="shared" si="2"/>
        <v>12366.569274222516</v>
      </c>
      <c r="T29" s="7">
        <f t="shared" si="3"/>
        <v>502</v>
      </c>
      <c r="U29" s="3">
        <v>502</v>
      </c>
      <c r="V29" s="8">
        <f t="shared" si="4"/>
        <v>0</v>
      </c>
      <c r="W29" s="8"/>
      <c r="X29" s="11">
        <f t="shared" si="5"/>
        <v>18366.916496034624</v>
      </c>
    </row>
    <row r="30" spans="1:26" ht="15.5" x14ac:dyDescent="0.35">
      <c r="A30" s="1" t="s">
        <v>54</v>
      </c>
      <c r="B30" s="2" t="s">
        <v>29</v>
      </c>
      <c r="C30" s="3" t="s">
        <v>47</v>
      </c>
      <c r="D30" s="18" t="str">
        <f t="shared" si="6"/>
        <v>ene</v>
      </c>
      <c r="E30" s="5">
        <v>45674</v>
      </c>
      <c r="F30" s="6">
        <v>45689</v>
      </c>
      <c r="G30" s="7">
        <v>20</v>
      </c>
      <c r="H30" s="7">
        <v>2358</v>
      </c>
      <c r="I30" s="7"/>
      <c r="J30" s="8">
        <v>29260.81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14626.451335087097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10468.323357879235</v>
      </c>
      <c r="M30" s="8">
        <f t="shared" si="0"/>
        <v>54355.584692966331</v>
      </c>
      <c r="N30" s="9">
        <f t="shared" si="1"/>
        <v>23.051562634845773</v>
      </c>
      <c r="O30" s="10"/>
      <c r="P30" s="3"/>
      <c r="Q30" s="3"/>
      <c r="R30" s="3"/>
      <c r="S30" s="8">
        <f t="shared" si="2"/>
        <v>0</v>
      </c>
      <c r="T30" s="7">
        <f t="shared" si="3"/>
        <v>2358</v>
      </c>
      <c r="U30" s="3">
        <v>2358</v>
      </c>
      <c r="V30" s="8">
        <f t="shared" si="4"/>
        <v>0</v>
      </c>
      <c r="W30" s="8"/>
      <c r="X30" s="11">
        <f t="shared" si="5"/>
        <v>54355.584692966331</v>
      </c>
    </row>
    <row r="31" spans="1:26" ht="15.5" x14ac:dyDescent="0.35">
      <c r="A31" s="1">
        <v>1026</v>
      </c>
      <c r="B31" s="2" t="s">
        <v>23</v>
      </c>
      <c r="C31" s="3" t="s">
        <v>36</v>
      </c>
      <c r="D31" s="18" t="str">
        <f t="shared" si="6"/>
        <v>ene</v>
      </c>
      <c r="E31" s="5">
        <v>45679</v>
      </c>
      <c r="F31" s="6">
        <v>45696</v>
      </c>
      <c r="G31" s="7">
        <v>8</v>
      </c>
      <c r="H31" s="7">
        <v>867</v>
      </c>
      <c r="I31" s="7"/>
      <c r="J31" s="8">
        <v>14204.08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10019.589252502272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4406.7165177548677</v>
      </c>
      <c r="M31" s="8">
        <f t="shared" si="0"/>
        <v>28630.38577025714</v>
      </c>
      <c r="N31" s="9">
        <f t="shared" si="1"/>
        <v>33.022359596605696</v>
      </c>
      <c r="O31" s="10"/>
      <c r="P31" s="3"/>
      <c r="Q31" s="3"/>
      <c r="R31" s="3"/>
      <c r="S31" s="8">
        <f t="shared" si="2"/>
        <v>0</v>
      </c>
      <c r="T31" s="7">
        <f t="shared" si="3"/>
        <v>867</v>
      </c>
      <c r="U31" s="3">
        <v>867</v>
      </c>
      <c r="V31" s="8">
        <f t="shared" si="4"/>
        <v>0</v>
      </c>
      <c r="W31" s="8"/>
      <c r="X31" s="11">
        <f t="shared" si="5"/>
        <v>28630.38577025714</v>
      </c>
    </row>
    <row r="32" spans="1:26" ht="15.5" x14ac:dyDescent="0.35">
      <c r="A32" s="1" t="s">
        <v>55</v>
      </c>
      <c r="B32" s="2" t="s">
        <v>29</v>
      </c>
      <c r="C32" s="3" t="s">
        <v>34</v>
      </c>
      <c r="D32" s="18" t="str">
        <f t="shared" si="6"/>
        <v>ene</v>
      </c>
      <c r="E32" s="5">
        <v>45681</v>
      </c>
      <c r="F32" s="6">
        <v>45707</v>
      </c>
      <c r="G32" s="7">
        <v>40</v>
      </c>
      <c r="H32" s="7">
        <v>4570</v>
      </c>
      <c r="I32" s="7"/>
      <c r="J32" s="8">
        <v>91483.91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29252.902670174193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20936.64671575847</v>
      </c>
      <c r="M32" s="8">
        <f t="shared" si="0"/>
        <v>141673.45938593266</v>
      </c>
      <c r="N32" s="9">
        <f t="shared" si="1"/>
        <v>31.000756977228153</v>
      </c>
      <c r="O32" s="10"/>
      <c r="P32" s="3"/>
      <c r="Q32" s="3"/>
      <c r="R32" s="3"/>
      <c r="S32" s="8">
        <f t="shared" si="2"/>
        <v>0</v>
      </c>
      <c r="T32" s="7">
        <f t="shared" si="3"/>
        <v>4570</v>
      </c>
      <c r="U32" s="3">
        <v>4570</v>
      </c>
      <c r="V32" s="8">
        <f t="shared" si="4"/>
        <v>0</v>
      </c>
      <c r="W32" s="8"/>
      <c r="X32" s="11">
        <f t="shared" si="5"/>
        <v>141673.45938593266</v>
      </c>
    </row>
    <row r="33" spans="1:24" ht="15.5" x14ac:dyDescent="0.35">
      <c r="A33" s="1">
        <v>1027</v>
      </c>
      <c r="B33" s="2" t="s">
        <v>23</v>
      </c>
      <c r="C33" s="3" t="s">
        <v>56</v>
      </c>
      <c r="D33" s="18" t="str">
        <f t="shared" si="6"/>
        <v>ene</v>
      </c>
      <c r="E33" s="5">
        <v>45681</v>
      </c>
      <c r="F33" s="6">
        <v>45699</v>
      </c>
      <c r="G33" s="7">
        <v>3</v>
      </c>
      <c r="H33" s="7">
        <v>290</v>
      </c>
      <c r="I33" s="7"/>
      <c r="J33" s="19">
        <v>15392.8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3757.3459696883519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1652.5186941580755</v>
      </c>
      <c r="M33" s="8">
        <f t="shared" si="0"/>
        <v>20802.664663846426</v>
      </c>
      <c r="N33" s="9">
        <f t="shared" si="1"/>
        <v>71.733326427056639</v>
      </c>
      <c r="O33" s="10"/>
      <c r="P33" s="3"/>
      <c r="Q33" s="3"/>
      <c r="R33" s="3"/>
      <c r="S33" s="8">
        <f t="shared" si="2"/>
        <v>0</v>
      </c>
      <c r="T33" s="7">
        <f t="shared" si="3"/>
        <v>290</v>
      </c>
      <c r="U33" s="3">
        <v>290</v>
      </c>
      <c r="V33" s="8">
        <f t="shared" si="4"/>
        <v>0</v>
      </c>
      <c r="W33" s="8"/>
      <c r="X33" s="11">
        <f t="shared" si="5"/>
        <v>20802.664663846426</v>
      </c>
    </row>
    <row r="34" spans="1:24" ht="15.5" x14ac:dyDescent="0.35">
      <c r="A34" s="1">
        <v>1028</v>
      </c>
      <c r="B34" s="2" t="s">
        <v>23</v>
      </c>
      <c r="C34" s="3" t="s">
        <v>57</v>
      </c>
      <c r="D34" s="18" t="str">
        <f t="shared" si="6"/>
        <v>ene</v>
      </c>
      <c r="E34" s="5">
        <v>45685</v>
      </c>
      <c r="F34" s="6">
        <v>45714</v>
      </c>
      <c r="G34" s="7">
        <v>4</v>
      </c>
      <c r="H34" s="7">
        <v>434</v>
      </c>
      <c r="I34" s="7"/>
      <c r="J34" s="8">
        <v>6557.5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5009.7946262511359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2203.3582588774339</v>
      </c>
      <c r="M34" s="8">
        <f t="shared" si="0"/>
        <v>13770.652885128569</v>
      </c>
      <c r="N34" s="9">
        <f t="shared" si="1"/>
        <v>31.729614942692557</v>
      </c>
      <c r="O34" s="10"/>
      <c r="P34" s="3"/>
      <c r="Q34" s="3"/>
      <c r="R34" s="3"/>
      <c r="S34" s="8">
        <f t="shared" si="2"/>
        <v>0</v>
      </c>
      <c r="T34" s="7">
        <f t="shared" si="3"/>
        <v>434</v>
      </c>
      <c r="U34" s="3">
        <v>434</v>
      </c>
      <c r="V34" s="8">
        <f t="shared" si="4"/>
        <v>0</v>
      </c>
      <c r="W34" s="8"/>
      <c r="X34" s="11">
        <f t="shared" si="5"/>
        <v>13770.652885128569</v>
      </c>
    </row>
    <row r="35" spans="1:24" ht="15.5" x14ac:dyDescent="0.35">
      <c r="A35" s="1">
        <v>1029</v>
      </c>
      <c r="B35" s="2" t="s">
        <v>23</v>
      </c>
      <c r="C35" s="3" t="s">
        <v>45</v>
      </c>
      <c r="D35" s="18" t="str">
        <f t="shared" si="6"/>
        <v>ene</v>
      </c>
      <c r="E35" s="5">
        <v>45686</v>
      </c>
      <c r="F35" s="6">
        <v>45701</v>
      </c>
      <c r="G35" s="7">
        <v>3</v>
      </c>
      <c r="H35" s="7">
        <v>352</v>
      </c>
      <c r="I35" s="7"/>
      <c r="J35" s="17">
        <v>5252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3757.3459696883519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1652.5186941580755</v>
      </c>
      <c r="M35" s="8">
        <f t="shared" si="0"/>
        <v>10661.864663846427</v>
      </c>
      <c r="N35" s="9">
        <f t="shared" si="1"/>
        <v>30.289388249563714</v>
      </c>
      <c r="O35" s="10"/>
      <c r="P35" s="3"/>
      <c r="Q35" s="3"/>
      <c r="R35" s="3"/>
      <c r="S35" s="8">
        <f t="shared" si="2"/>
        <v>0</v>
      </c>
      <c r="T35" s="7">
        <f t="shared" si="3"/>
        <v>352</v>
      </c>
      <c r="U35" s="3">
        <v>352</v>
      </c>
      <c r="V35" s="8">
        <f t="shared" si="4"/>
        <v>0</v>
      </c>
      <c r="W35" s="8"/>
      <c r="X35" s="11">
        <f t="shared" si="5"/>
        <v>10661.864663846427</v>
      </c>
    </row>
    <row r="36" spans="1:24" ht="15.5" x14ac:dyDescent="0.35">
      <c r="A36" s="1">
        <v>1030</v>
      </c>
      <c r="B36" s="2" t="s">
        <v>23</v>
      </c>
      <c r="C36" s="3" t="s">
        <v>56</v>
      </c>
      <c r="D36" s="18" t="str">
        <f t="shared" si="6"/>
        <v>ene</v>
      </c>
      <c r="E36" s="5">
        <v>45688</v>
      </c>
      <c r="F36" s="6">
        <v>45703</v>
      </c>
      <c r="G36" s="7">
        <v>6</v>
      </c>
      <c r="H36" s="7">
        <v>729</v>
      </c>
      <c r="I36" s="7"/>
      <c r="J36" s="17">
        <v>20804.919999999998</v>
      </c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7514.6919393767039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3305.037388316151</v>
      </c>
      <c r="M36" s="8">
        <f t="shared" si="0"/>
        <v>31624.649327692852</v>
      </c>
      <c r="N36" s="9">
        <f t="shared" si="1"/>
        <v>43.380863275298836</v>
      </c>
      <c r="O36" s="10"/>
      <c r="P36" s="3"/>
      <c r="Q36" s="3"/>
      <c r="R36" s="3"/>
      <c r="S36" s="8">
        <f t="shared" si="2"/>
        <v>0</v>
      </c>
      <c r="T36" s="7">
        <f t="shared" si="3"/>
        <v>729</v>
      </c>
      <c r="U36" s="3">
        <v>729</v>
      </c>
      <c r="V36" s="8">
        <f t="shared" si="4"/>
        <v>0</v>
      </c>
      <c r="W36" s="8"/>
      <c r="X36" s="11">
        <f t="shared" si="5"/>
        <v>31624.649327692852</v>
      </c>
    </row>
    <row r="37" spans="1:24" ht="15.5" x14ac:dyDescent="0.35">
      <c r="A37" s="1" t="s">
        <v>58</v>
      </c>
      <c r="B37" s="2" t="s">
        <v>29</v>
      </c>
      <c r="C37" s="3" t="s">
        <v>59</v>
      </c>
      <c r="D37" s="18" t="str">
        <f t="shared" si="6"/>
        <v>ene</v>
      </c>
      <c r="E37" s="5">
        <v>45688</v>
      </c>
      <c r="F37" s="6">
        <v>45722</v>
      </c>
      <c r="G37" s="7">
        <v>20</v>
      </c>
      <c r="H37" s="7">
        <v>2421</v>
      </c>
      <c r="I37" s="7"/>
      <c r="J37" s="8">
        <v>33327.93</v>
      </c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14626.451335087097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10468.323357879235</v>
      </c>
      <c r="M37" s="8">
        <f t="shared" si="0"/>
        <v>58422.704692966334</v>
      </c>
      <c r="N37" s="9">
        <f t="shared" si="1"/>
        <v>24.131641756698198</v>
      </c>
      <c r="O37" s="10"/>
      <c r="P37" s="3"/>
      <c r="Q37" s="3"/>
      <c r="R37" s="3"/>
      <c r="S37" s="8">
        <f t="shared" si="2"/>
        <v>0</v>
      </c>
      <c r="T37" s="7">
        <f t="shared" si="3"/>
        <v>2421</v>
      </c>
      <c r="U37" s="3">
        <v>2421</v>
      </c>
      <c r="V37" s="8">
        <f t="shared" si="4"/>
        <v>0</v>
      </c>
      <c r="W37" s="8"/>
      <c r="X37" s="11">
        <f t="shared" si="5"/>
        <v>58422.704692966334</v>
      </c>
    </row>
    <row r="38" spans="1:24" ht="15.5" x14ac:dyDescent="0.35">
      <c r="A38" s="1"/>
      <c r="B38" s="2"/>
      <c r="C38" s="3"/>
      <c r="D38" s="18" t="str">
        <f t="shared" si="6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0"/>
        <v>0</v>
      </c>
      <c r="N38" s="9" t="str">
        <f t="shared" si="1"/>
        <v>N/A</v>
      </c>
      <c r="O38" s="10"/>
      <c r="P38" s="3"/>
      <c r="Q38" s="3"/>
      <c r="R38" s="3"/>
      <c r="S38" s="8">
        <f t="shared" si="2"/>
        <v>0</v>
      </c>
      <c r="T38" s="7">
        <f t="shared" si="3"/>
        <v>0</v>
      </c>
      <c r="U38" s="3"/>
      <c r="V38" s="8">
        <f t="shared" si="4"/>
        <v>0</v>
      </c>
      <c r="W38" s="8"/>
      <c r="X38" s="11">
        <f t="shared" si="5"/>
        <v>0</v>
      </c>
    </row>
    <row r="39" spans="1:24" ht="15.5" x14ac:dyDescent="0.35">
      <c r="A39" s="1"/>
      <c r="B39" s="2"/>
      <c r="C39" s="3"/>
      <c r="D39" s="18" t="str">
        <f t="shared" si="6"/>
        <v>-</v>
      </c>
      <c r="E39" s="20"/>
      <c r="F39" s="7"/>
      <c r="G39" s="7"/>
      <c r="H39" s="7"/>
      <c r="I39" s="7"/>
      <c r="J39" s="8"/>
      <c r="K39" s="8">
        <f>IFERROR(((SUMIFS(MOIndirectos!$E$34:$E$132,MOIndirectos!$B$34:$B$132,"Mano de Obra",MOIndirectos!$C$34:$C$132,$D39,MOIndirectos!$D$34:$D$132,$B39))/(SUMIFS(MOIndirectos!$E$34:$E$132,MOIndirectos!$B$34:$B$132,"Produccion",MOIndirectos!$C$34:$C$132,$D39,MOIndirectos!$D$34:$D$132,$B39))*$G39),0)</f>
        <v>0</v>
      </c>
      <c r="L39" s="8">
        <f>IFERROR(((SUMIFS(MOIndirectos!$E$34:$E$132,MOIndirectos!$B$34:$B$132,"Indirectos",MOIndirectos!$C$34:$C$132,$D39,MOIndirectos!$D$34:$D$132,$B39))/(SUMIFS(MOIndirectos!$E$34:$E$132,MOIndirectos!$B$34:$B$132,"Produccion",MOIndirectos!$C$34:$C$132,$D39,MOIndirectos!$D$34:$D$132,$B39))*$G39),0)</f>
        <v>0</v>
      </c>
      <c r="M39" s="8">
        <f t="shared" si="0"/>
        <v>0</v>
      </c>
      <c r="N39" s="9" t="str">
        <f t="shared" si="1"/>
        <v>N/A</v>
      </c>
      <c r="O39" s="10"/>
      <c r="P39" s="3"/>
      <c r="Q39" s="3"/>
      <c r="R39" s="3"/>
      <c r="S39" s="8">
        <f t="shared" si="2"/>
        <v>0</v>
      </c>
      <c r="T39" s="7">
        <f t="shared" si="3"/>
        <v>0</v>
      </c>
      <c r="U39" s="3"/>
      <c r="V39" s="8">
        <f t="shared" si="4"/>
        <v>0</v>
      </c>
      <c r="W39" s="8"/>
      <c r="X39" s="11">
        <f t="shared" si="5"/>
        <v>0</v>
      </c>
    </row>
    <row r="40" spans="1:24" ht="15.5" x14ac:dyDescent="0.35">
      <c r="A40" s="1"/>
      <c r="B40" s="2"/>
      <c r="C40" s="3"/>
      <c r="D40" s="18" t="str">
        <f t="shared" si="6"/>
        <v>-</v>
      </c>
      <c r="E40" s="20"/>
      <c r="F40" s="7"/>
      <c r="G40" s="7"/>
      <c r="H40" s="7"/>
      <c r="I40" s="7"/>
      <c r="J40" s="8"/>
      <c r="K40" s="8">
        <f>IFERROR(((SUMIFS(MOIndirectos!$E$34:$E$132,MOIndirectos!$B$34:$B$132,"Mano de Obra",MOIndirectos!$C$34:$C$132,$D40,MOIndirectos!$D$34:$D$132,$B40))/(SUMIFS(MOIndirectos!$E$34:$E$132,MOIndirectos!$B$34:$B$132,"Produccion",MOIndirectos!$C$34:$C$132,$D40,MOIndirectos!$D$34:$D$132,$B40))*$G40),0)</f>
        <v>0</v>
      </c>
      <c r="L40" s="8">
        <f>IFERROR(((SUMIFS(MOIndirectos!$E$34:$E$132,MOIndirectos!$B$34:$B$132,"Indirectos",MOIndirectos!$C$34:$C$132,$D40,MOIndirectos!$D$34:$D$132,$B40))/(SUMIFS(MOIndirectos!$E$34:$E$132,MOIndirectos!$B$34:$B$132,"Produccion",MOIndirectos!$C$34:$C$132,$D40,MOIndirectos!$D$34:$D$132,$B40))*$G40),0)</f>
        <v>0</v>
      </c>
      <c r="M40" s="8">
        <f t="shared" si="0"/>
        <v>0</v>
      </c>
      <c r="N40" s="9" t="str">
        <f t="shared" si="1"/>
        <v>N/A</v>
      </c>
      <c r="O40" s="10"/>
      <c r="P40" s="3"/>
      <c r="Q40" s="3"/>
      <c r="R40" s="3"/>
      <c r="S40" s="8">
        <f t="shared" si="2"/>
        <v>0</v>
      </c>
      <c r="T40" s="7">
        <f t="shared" si="3"/>
        <v>0</v>
      </c>
      <c r="U40" s="3"/>
      <c r="V40" s="8">
        <f t="shared" si="4"/>
        <v>0</v>
      </c>
      <c r="W40" s="8"/>
      <c r="X40" s="11">
        <f t="shared" si="5"/>
        <v>0</v>
      </c>
    </row>
    <row r="41" spans="1:24" ht="15.5" x14ac:dyDescent="0.35">
      <c r="A41" s="1"/>
      <c r="B41" s="2"/>
      <c r="C41" s="3"/>
      <c r="D41" s="18" t="str">
        <f t="shared" si="6"/>
        <v>-</v>
      </c>
      <c r="E41" s="20"/>
      <c r="F41" s="7"/>
      <c r="G41" s="7"/>
      <c r="H41" s="7"/>
      <c r="I41" s="7"/>
      <c r="J41" s="8"/>
      <c r="K41" s="8">
        <f>IFERROR(((SUMIFS(MOIndirectos!$E$34:$E$132,MOIndirectos!$B$34:$B$132,"Mano de Obra",MOIndirectos!$C$34:$C$132,$D41,MOIndirectos!$D$34:$D$132,$B41))/(SUMIFS(MOIndirectos!$E$34:$E$132,MOIndirectos!$B$34:$B$132,"Produccion",MOIndirectos!$C$34:$C$132,$D41,MOIndirectos!$D$34:$D$132,$B41))*$G41),0)</f>
        <v>0</v>
      </c>
      <c r="L41" s="8">
        <f>IFERROR(((SUMIFS(MOIndirectos!$E$34:$E$132,MOIndirectos!$B$34:$B$132,"Indirectos",MOIndirectos!$C$34:$C$132,$D41,MOIndirectos!$D$34:$D$132,$B41))/(SUMIFS(MOIndirectos!$E$34:$E$132,MOIndirectos!$B$34:$B$132,"Produccion",MOIndirectos!$C$34:$C$132,$D41,MOIndirectos!$D$34:$D$132,$B41))*$G41),0)</f>
        <v>0</v>
      </c>
      <c r="M41" s="8">
        <f t="shared" si="0"/>
        <v>0</v>
      </c>
      <c r="N41" s="9" t="str">
        <f t="shared" si="1"/>
        <v>N/A</v>
      </c>
      <c r="O41" s="10"/>
      <c r="P41" s="3"/>
      <c r="Q41" s="3"/>
      <c r="R41" s="3"/>
      <c r="S41" s="8">
        <f t="shared" si="2"/>
        <v>0</v>
      </c>
      <c r="T41" s="7">
        <f t="shared" si="3"/>
        <v>0</v>
      </c>
      <c r="U41" s="3"/>
      <c r="V41" s="8">
        <f t="shared" si="4"/>
        <v>0</v>
      </c>
      <c r="W41" s="8"/>
      <c r="X41" s="11">
        <f t="shared" si="5"/>
        <v>0</v>
      </c>
    </row>
    <row r="42" spans="1:24" ht="15.5" x14ac:dyDescent="0.35">
      <c r="A42" s="1"/>
      <c r="B42" s="2"/>
      <c r="C42" s="3"/>
      <c r="D42" s="18" t="str">
        <f t="shared" si="6"/>
        <v>-</v>
      </c>
      <c r="E42" s="20"/>
      <c r="F42" s="7"/>
      <c r="G42" s="7"/>
      <c r="H42" s="7"/>
      <c r="I42" s="7"/>
      <c r="J42" s="8"/>
      <c r="K42" s="8">
        <f>IFERROR(((SUMIFS(MOIndirectos!$E$34:$E$132,MOIndirectos!$B$34:$B$132,"Mano de Obra",MOIndirectos!$C$34:$C$132,$D42,MOIndirectos!$D$34:$D$132,$B42))/(SUMIFS(MOIndirectos!$E$34:$E$132,MOIndirectos!$B$34:$B$132,"Produccion",MOIndirectos!$C$34:$C$132,$D42,MOIndirectos!$D$34:$D$132,$B42))*$G42),0)</f>
        <v>0</v>
      </c>
      <c r="L42" s="8">
        <f>IFERROR(((SUMIFS(MOIndirectos!$E$34:$E$132,MOIndirectos!$B$34:$B$132,"Indirectos",MOIndirectos!$C$34:$C$132,$D42,MOIndirectos!$D$34:$D$132,$B42))/(SUMIFS(MOIndirectos!$E$34:$E$132,MOIndirectos!$B$34:$B$132,"Produccion",MOIndirectos!$C$34:$C$132,$D42,MOIndirectos!$D$34:$D$132,$B42))*$G42),0)</f>
        <v>0</v>
      </c>
      <c r="M42" s="8">
        <f t="shared" si="0"/>
        <v>0</v>
      </c>
      <c r="N42" s="9" t="str">
        <f t="shared" si="1"/>
        <v>N/A</v>
      </c>
      <c r="O42" s="10"/>
      <c r="P42" s="3"/>
      <c r="Q42" s="3"/>
      <c r="R42" s="3"/>
      <c r="S42" s="8">
        <f t="shared" si="2"/>
        <v>0</v>
      </c>
      <c r="T42" s="7">
        <f t="shared" si="3"/>
        <v>0</v>
      </c>
      <c r="U42" s="3"/>
      <c r="V42" s="8">
        <f t="shared" si="4"/>
        <v>0</v>
      </c>
      <c r="W42" s="8"/>
      <c r="X42" s="11">
        <f t="shared" si="5"/>
        <v>0</v>
      </c>
    </row>
    <row r="44" spans="1:24" ht="15.75" customHeight="1" x14ac:dyDescent="0.25">
      <c r="H44" s="21" t="s">
        <v>31</v>
      </c>
      <c r="I44" s="21" t="s">
        <v>60</v>
      </c>
      <c r="J44" s="22">
        <f>SUMIF(D2:D42,I44,J2:J42)</f>
        <v>383664.59999999992</v>
      </c>
      <c r="M44" s="22">
        <f>SUMIF(D2:D42,I44,M2:M42)</f>
        <v>656705.58679999982</v>
      </c>
      <c r="N44" s="22" t="str">
        <f>IFERROR(AVERAGEIFS(N2:N37,D2:D37,I44,C2:C37,H44),"")</f>
        <v/>
      </c>
    </row>
    <row r="45" spans="1:24" ht="15.75" customHeight="1" x14ac:dyDescent="0.25">
      <c r="J45" s="22"/>
      <c r="U45" s="21" t="s">
        <v>61</v>
      </c>
      <c r="V45" s="21" t="s">
        <v>62</v>
      </c>
    </row>
    <row r="46" spans="1:24" ht="15.75" customHeight="1" x14ac:dyDescent="0.25">
      <c r="F46" s="22"/>
      <c r="S46" s="21">
        <f t="shared" ref="S46:S47" si="7">W46*200</f>
        <v>1883.2</v>
      </c>
      <c r="T46" s="21" t="s">
        <v>63</v>
      </c>
      <c r="U46" s="21">
        <v>500</v>
      </c>
      <c r="V46" s="21">
        <f>9416/2</f>
        <v>4708</v>
      </c>
      <c r="W46" s="21">
        <f t="shared" ref="W46:W47" si="8">V46/U46</f>
        <v>9.4160000000000004</v>
      </c>
    </row>
    <row r="47" spans="1:24" ht="15.75" customHeight="1" x14ac:dyDescent="0.25">
      <c r="I47" s="21" t="s">
        <v>64</v>
      </c>
      <c r="J47" s="21" t="s">
        <v>65</v>
      </c>
      <c r="K47" s="21" t="s">
        <v>66</v>
      </c>
      <c r="L47" s="21" t="s">
        <v>67</v>
      </c>
      <c r="M47" s="21" t="s">
        <v>68</v>
      </c>
      <c r="N47" s="21" t="s">
        <v>69</v>
      </c>
      <c r="O47" s="21" t="s">
        <v>70</v>
      </c>
      <c r="P47" s="21"/>
      <c r="Q47" s="21"/>
      <c r="R47" s="21" t="s">
        <v>71</v>
      </c>
      <c r="S47" s="21">
        <f t="shared" si="7"/>
        <v>3097.826086956522</v>
      </c>
      <c r="T47" s="21" t="s">
        <v>72</v>
      </c>
      <c r="U47" s="21">
        <v>460</v>
      </c>
      <c r="V47" s="21">
        <v>7125</v>
      </c>
      <c r="W47" s="21">
        <f t="shared" si="8"/>
        <v>15.489130434782609</v>
      </c>
    </row>
    <row r="48" spans="1:24" ht="15.5" x14ac:dyDescent="0.35">
      <c r="F48" s="23"/>
      <c r="G48" s="21">
        <f t="shared" ref="G48:G52" si="9">SUM(I48:R48)</f>
        <v>7711.03</v>
      </c>
      <c r="H48" s="21" t="s">
        <v>24</v>
      </c>
      <c r="I48" s="24">
        <v>360</v>
      </c>
      <c r="J48" s="24">
        <v>4981.03</v>
      </c>
      <c r="K48" s="24">
        <v>2250</v>
      </c>
      <c r="L48" s="24"/>
      <c r="M48" s="24"/>
      <c r="N48" s="24"/>
      <c r="O48" s="24"/>
      <c r="P48" s="24"/>
      <c r="Q48" s="24"/>
      <c r="R48" s="24">
        <v>120</v>
      </c>
      <c r="S48" s="21">
        <f>ROUND(S47+S46,2)</f>
        <v>4981.03</v>
      </c>
    </row>
    <row r="49" spans="3:18" ht="15.75" customHeight="1" x14ac:dyDescent="0.25">
      <c r="F49" s="25" t="s">
        <v>73</v>
      </c>
      <c r="G49" s="25">
        <f t="shared" si="9"/>
        <v>0</v>
      </c>
      <c r="H49" s="25" t="s">
        <v>74</v>
      </c>
      <c r="I49" s="24" t="s">
        <v>75</v>
      </c>
      <c r="J49" s="24"/>
      <c r="K49" s="24"/>
      <c r="L49" s="24"/>
      <c r="M49" s="24"/>
      <c r="N49" s="24"/>
      <c r="O49" s="24"/>
      <c r="P49" s="24"/>
      <c r="Q49" s="24"/>
      <c r="R49" s="24"/>
    </row>
    <row r="50" spans="3:18" ht="15.75" customHeight="1" x14ac:dyDescent="0.25">
      <c r="G50" s="21">
        <f t="shared" si="9"/>
        <v>2600</v>
      </c>
      <c r="H50" s="22" t="s">
        <v>45</v>
      </c>
      <c r="I50" s="24"/>
      <c r="J50" s="24"/>
      <c r="K50" s="24"/>
      <c r="L50" s="24"/>
      <c r="M50" s="24"/>
      <c r="N50" s="24">
        <v>2240</v>
      </c>
      <c r="O50" s="24"/>
      <c r="P50" s="24"/>
      <c r="Q50" s="24"/>
      <c r="R50" s="24">
        <v>360</v>
      </c>
    </row>
    <row r="51" spans="3:18" ht="15.75" customHeight="1" x14ac:dyDescent="0.25">
      <c r="G51" s="21">
        <f t="shared" si="9"/>
        <v>1080</v>
      </c>
      <c r="H51" s="21" t="s">
        <v>76</v>
      </c>
      <c r="I51" s="24">
        <v>1080</v>
      </c>
      <c r="J51" s="24"/>
      <c r="K51" s="24"/>
      <c r="L51" s="24"/>
      <c r="M51" s="24"/>
      <c r="N51" s="24"/>
      <c r="O51" s="24"/>
      <c r="P51" s="24"/>
      <c r="Q51" s="24"/>
      <c r="R51" s="24"/>
    </row>
    <row r="52" spans="3:18" ht="15.75" customHeight="1" x14ac:dyDescent="0.25">
      <c r="G52" s="21">
        <f t="shared" si="9"/>
        <v>0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5" spans="3:18" ht="15.75" customHeight="1" x14ac:dyDescent="0.25">
      <c r="J55" s="22"/>
    </row>
    <row r="59" spans="3:18" ht="12.5" x14ac:dyDescent="0.25">
      <c r="C59" s="26"/>
    </row>
  </sheetData>
  <conditionalFormatting sqref="N2:N42">
    <cfRule type="cellIs" dxfId="21" priority="1" operator="greaterThan">
      <formula>60</formula>
    </cfRule>
    <cfRule type="cellIs" dxfId="20" priority="2" operator="greaterThan">
      <formula>45</formula>
    </cfRule>
  </conditionalFormatting>
  <dataValidations count="1">
    <dataValidation type="list" allowBlank="1" showErrorMessage="1" sqref="B2:B42" xr:uid="{00000000-0002-0000-00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X57"/>
  <sheetViews>
    <sheetView workbookViewId="0">
      <pane xSplit="3" topLeftCell="I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 t="s">
        <v>124</v>
      </c>
      <c r="B2" s="2" t="s">
        <v>29</v>
      </c>
      <c r="C2" s="3" t="s">
        <v>47</v>
      </c>
      <c r="D2" s="18" t="str">
        <f t="shared" ref="D2:D40" si="0">IF(E2="","-",(TEXT(E2,"MMM")))</f>
        <v>jul</v>
      </c>
      <c r="E2" s="5">
        <v>45869</v>
      </c>
      <c r="F2" s="6">
        <v>45885</v>
      </c>
      <c r="G2" s="7">
        <v>20</v>
      </c>
      <c r="H2" s="7">
        <v>2528</v>
      </c>
      <c r="I2" s="3">
        <v>60</v>
      </c>
      <c r="J2" s="8">
        <v>20524.349999999999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15034.067213309565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13805.386264323912</v>
      </c>
      <c r="M2" s="8">
        <f t="shared" ref="M2:M40" si="1">J2+K2+L2</f>
        <v>49363.803477633475</v>
      </c>
      <c r="N2" s="9">
        <f t="shared" ref="N2:N40" si="2">IF(H2&gt;0,M2/H2,"N/A")</f>
        <v>19.526820995899318</v>
      </c>
      <c r="O2" s="10">
        <v>60</v>
      </c>
      <c r="P2" s="3"/>
      <c r="Q2" s="3"/>
      <c r="R2" s="3"/>
      <c r="S2" s="8">
        <f t="shared" ref="S2:S40" si="3">IF(N2="N/A",0,(O2+P2+Q2+R2)*N2)</f>
        <v>1171.6092597539591</v>
      </c>
      <c r="T2" s="7">
        <f t="shared" ref="T2:T40" si="4">IF(I2=0,H2-O2-P2-Q2-R2,I2-O2-P2-Q2-R2)</f>
        <v>0</v>
      </c>
      <c r="U2" s="3">
        <v>0</v>
      </c>
      <c r="V2" s="8">
        <f t="shared" ref="V2:V40" si="5">IF(N2="N/A",0,((T2-U2)*N2)-W2)</f>
        <v>0</v>
      </c>
      <c r="W2" s="8"/>
      <c r="X2" s="11">
        <f t="shared" ref="X2:X40" si="6">IF(N2="N/A",0,U2*N2)</f>
        <v>0</v>
      </c>
    </row>
    <row r="3" spans="1:24" ht="15.5" x14ac:dyDescent="0.35">
      <c r="A3" s="1">
        <v>1092</v>
      </c>
      <c r="B3" s="2" t="s">
        <v>23</v>
      </c>
      <c r="C3" s="3" t="s">
        <v>42</v>
      </c>
      <c r="D3" s="18" t="str">
        <f t="shared" si="0"/>
        <v>ago</v>
      </c>
      <c r="E3" s="5">
        <v>45874</v>
      </c>
      <c r="F3" s="6">
        <v>45901</v>
      </c>
      <c r="G3" s="7">
        <v>4</v>
      </c>
      <c r="H3" s="7">
        <v>475</v>
      </c>
      <c r="I3" s="7">
        <v>115</v>
      </c>
      <c r="J3" s="8">
        <v>6583.16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6126.7824570230596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2534.8847354790973</v>
      </c>
      <c r="M3" s="8">
        <f t="shared" si="1"/>
        <v>15244.827192502156</v>
      </c>
      <c r="N3" s="9">
        <f t="shared" si="2"/>
        <v>32.094373036846648</v>
      </c>
      <c r="O3" s="10">
        <v>115</v>
      </c>
      <c r="P3" s="3"/>
      <c r="Q3" s="3"/>
      <c r="R3" s="3"/>
      <c r="S3" s="8">
        <f t="shared" si="3"/>
        <v>3690.8528992373645</v>
      </c>
      <c r="T3" s="7">
        <f t="shared" si="4"/>
        <v>0</v>
      </c>
      <c r="U3" s="3">
        <v>0</v>
      </c>
      <c r="V3" s="8">
        <f t="shared" si="5"/>
        <v>0</v>
      </c>
      <c r="W3" s="8"/>
      <c r="X3" s="11">
        <f t="shared" si="6"/>
        <v>0</v>
      </c>
    </row>
    <row r="4" spans="1:24" ht="15.5" x14ac:dyDescent="0.35">
      <c r="A4" s="1">
        <v>1094</v>
      </c>
      <c r="B4" s="2" t="s">
        <v>23</v>
      </c>
      <c r="C4" s="3" t="s">
        <v>56</v>
      </c>
      <c r="D4" s="18" t="str">
        <f t="shared" si="0"/>
        <v>ago</v>
      </c>
      <c r="E4" s="5">
        <v>45877</v>
      </c>
      <c r="F4" s="6">
        <v>45894</v>
      </c>
      <c r="G4" s="7">
        <v>6</v>
      </c>
      <c r="H4" s="7">
        <v>691</v>
      </c>
      <c r="I4" s="7">
        <v>60</v>
      </c>
      <c r="J4" s="17">
        <v>24586.720000000001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9190.1736855345898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3802.3271032186458</v>
      </c>
      <c r="M4" s="8">
        <f t="shared" si="1"/>
        <v>37579.220788753235</v>
      </c>
      <c r="N4" s="9">
        <f t="shared" si="2"/>
        <v>54.383821691393969</v>
      </c>
      <c r="O4" s="10">
        <v>17</v>
      </c>
      <c r="P4" s="3"/>
      <c r="Q4" s="3"/>
      <c r="R4" s="3">
        <v>40</v>
      </c>
      <c r="S4" s="8">
        <f t="shared" si="3"/>
        <v>3099.8778364094564</v>
      </c>
      <c r="T4" s="7">
        <f t="shared" si="4"/>
        <v>3</v>
      </c>
      <c r="U4" s="3">
        <v>0</v>
      </c>
      <c r="V4" s="8">
        <f t="shared" si="5"/>
        <v>163.15146507418191</v>
      </c>
      <c r="W4" s="8"/>
      <c r="X4" s="11">
        <f t="shared" si="6"/>
        <v>0</v>
      </c>
    </row>
    <row r="5" spans="1:24" ht="15.5" x14ac:dyDescent="0.35">
      <c r="A5" s="1">
        <v>1095</v>
      </c>
      <c r="B5" s="2" t="s">
        <v>23</v>
      </c>
      <c r="C5" s="3" t="s">
        <v>49</v>
      </c>
      <c r="D5" s="18" t="str">
        <f t="shared" si="0"/>
        <v>ago</v>
      </c>
      <c r="E5" s="5">
        <v>45882</v>
      </c>
      <c r="F5" s="6">
        <v>45904</v>
      </c>
      <c r="G5" s="7">
        <v>3</v>
      </c>
      <c r="H5" s="7">
        <v>360</v>
      </c>
      <c r="I5" s="7">
        <v>160</v>
      </c>
      <c r="J5" s="8">
        <v>10025.56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4595.0868427672949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1901.1635516093229</v>
      </c>
      <c r="M5" s="8">
        <f t="shared" si="1"/>
        <v>16521.810394376618</v>
      </c>
      <c r="N5" s="9">
        <f t="shared" si="2"/>
        <v>45.893917762157272</v>
      </c>
      <c r="O5" s="10">
        <v>136</v>
      </c>
      <c r="P5" s="3"/>
      <c r="Q5" s="3"/>
      <c r="R5" s="3">
        <v>20</v>
      </c>
      <c r="S5" s="8">
        <f t="shared" si="3"/>
        <v>7159.4511708965347</v>
      </c>
      <c r="T5" s="7">
        <f t="shared" si="4"/>
        <v>4</v>
      </c>
      <c r="U5" s="3">
        <v>0</v>
      </c>
      <c r="V5" s="8">
        <f t="shared" si="5"/>
        <v>183.57567104862909</v>
      </c>
      <c r="W5" s="8"/>
      <c r="X5" s="11">
        <f t="shared" si="6"/>
        <v>0</v>
      </c>
    </row>
    <row r="6" spans="1:24" ht="15.5" x14ac:dyDescent="0.35">
      <c r="A6" s="1">
        <v>1096</v>
      </c>
      <c r="B6" s="2" t="s">
        <v>23</v>
      </c>
      <c r="C6" s="3" t="s">
        <v>35</v>
      </c>
      <c r="D6" s="18" t="str">
        <f t="shared" si="0"/>
        <v>ago</v>
      </c>
      <c r="E6" s="5">
        <v>45884</v>
      </c>
      <c r="F6" s="6">
        <v>45896</v>
      </c>
      <c r="G6" s="7">
        <v>3</v>
      </c>
      <c r="H6" s="7">
        <v>393</v>
      </c>
      <c r="I6" s="7">
        <v>77</v>
      </c>
      <c r="J6" s="8">
        <v>4629.1000000000004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4595.0868427672949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1901.1635516093229</v>
      </c>
      <c r="M6" s="8">
        <f t="shared" si="1"/>
        <v>11125.350394376619</v>
      </c>
      <c r="N6" s="9">
        <f t="shared" si="2"/>
        <v>28.308779629457046</v>
      </c>
      <c r="O6" s="10">
        <v>52</v>
      </c>
      <c r="P6" s="3"/>
      <c r="Q6" s="3"/>
      <c r="R6" s="3">
        <v>20</v>
      </c>
      <c r="S6" s="8">
        <f t="shared" si="3"/>
        <v>2038.2321333209072</v>
      </c>
      <c r="T6" s="7">
        <f t="shared" si="4"/>
        <v>5</v>
      </c>
      <c r="U6" s="3">
        <v>0</v>
      </c>
      <c r="V6" s="8">
        <f t="shared" si="5"/>
        <v>141.54389814728523</v>
      </c>
      <c r="W6" s="8"/>
      <c r="X6" s="11">
        <f t="shared" si="6"/>
        <v>0</v>
      </c>
    </row>
    <row r="7" spans="1:24" ht="15.5" x14ac:dyDescent="0.35">
      <c r="A7" s="1" t="s">
        <v>129</v>
      </c>
      <c r="B7" s="2" t="s">
        <v>29</v>
      </c>
      <c r="C7" s="3" t="s">
        <v>130</v>
      </c>
      <c r="D7" s="18" t="str">
        <f t="shared" si="0"/>
        <v>ago</v>
      </c>
      <c r="E7" s="5">
        <v>45889</v>
      </c>
      <c r="F7" s="6">
        <v>45909</v>
      </c>
      <c r="G7" s="7">
        <v>20</v>
      </c>
      <c r="H7" s="7">
        <v>2422</v>
      </c>
      <c r="I7" s="7">
        <v>1638</v>
      </c>
      <c r="J7" s="19">
        <f>51982.33-9990.52-16669.29-21216.27</f>
        <v>4106.2499999999964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18074.854488888883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17258.289450980392</v>
      </c>
      <c r="M7" s="8">
        <f t="shared" si="1"/>
        <v>39439.393939869275</v>
      </c>
      <c r="N7" s="9">
        <f t="shared" si="2"/>
        <v>16.28381252678335</v>
      </c>
      <c r="O7" s="40">
        <v>799</v>
      </c>
      <c r="P7" s="27">
        <v>420</v>
      </c>
      <c r="Q7" s="27">
        <v>60</v>
      </c>
      <c r="R7" s="27">
        <v>190</v>
      </c>
      <c r="S7" s="8">
        <f t="shared" si="3"/>
        <v>23920.92060184474</v>
      </c>
      <c r="T7" s="41">
        <f t="shared" si="4"/>
        <v>169</v>
      </c>
      <c r="U7" s="42">
        <v>169</v>
      </c>
      <c r="V7" s="8">
        <f t="shared" si="5"/>
        <v>0</v>
      </c>
      <c r="W7" s="8"/>
      <c r="X7" s="11">
        <f t="shared" si="6"/>
        <v>2751.9643170263862</v>
      </c>
    </row>
    <row r="8" spans="1:24" ht="15.5" x14ac:dyDescent="0.35">
      <c r="A8" s="1">
        <v>1098</v>
      </c>
      <c r="B8" s="2" t="s">
        <v>23</v>
      </c>
      <c r="C8" s="3" t="s">
        <v>97</v>
      </c>
      <c r="D8" s="18" t="str">
        <f t="shared" si="0"/>
        <v>ago</v>
      </c>
      <c r="E8" s="5">
        <v>45891</v>
      </c>
      <c r="F8" s="6">
        <v>45910</v>
      </c>
      <c r="G8" s="7">
        <v>3</v>
      </c>
      <c r="H8" s="7">
        <v>380</v>
      </c>
      <c r="I8" s="7">
        <v>60</v>
      </c>
      <c r="J8" s="17">
        <v>18194.095000000001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4595.0868427672949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1901.1635516093229</v>
      </c>
      <c r="M8" s="8">
        <f t="shared" si="1"/>
        <v>24690.345394376618</v>
      </c>
      <c r="N8" s="9">
        <f t="shared" si="2"/>
        <v>64.974593143096357</v>
      </c>
      <c r="O8" s="10">
        <v>60</v>
      </c>
      <c r="P8" s="3"/>
      <c r="Q8" s="3"/>
      <c r="R8" s="3"/>
      <c r="S8" s="8">
        <f t="shared" si="3"/>
        <v>3898.4755885857812</v>
      </c>
      <c r="T8" s="7">
        <f t="shared" si="4"/>
        <v>0</v>
      </c>
      <c r="U8" s="3">
        <v>0</v>
      </c>
      <c r="V8" s="8">
        <f t="shared" si="5"/>
        <v>0</v>
      </c>
      <c r="W8" s="8"/>
      <c r="X8" s="11">
        <f t="shared" si="6"/>
        <v>0</v>
      </c>
    </row>
    <row r="9" spans="1:24" ht="15.5" x14ac:dyDescent="0.35">
      <c r="A9" s="1">
        <v>1099</v>
      </c>
      <c r="B9" s="2" t="s">
        <v>23</v>
      </c>
      <c r="C9" s="3" t="s">
        <v>56</v>
      </c>
      <c r="D9" s="18" t="str">
        <f t="shared" si="0"/>
        <v>ago</v>
      </c>
      <c r="E9" s="5">
        <v>45895</v>
      </c>
      <c r="F9" s="6">
        <v>45913</v>
      </c>
      <c r="G9" s="7">
        <v>3</v>
      </c>
      <c r="H9" s="7">
        <v>360</v>
      </c>
      <c r="I9" s="7">
        <v>180</v>
      </c>
      <c r="J9" s="17">
        <v>11650.47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4595.0868427672949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1901.1635516093229</v>
      </c>
      <c r="M9" s="8">
        <f t="shared" si="1"/>
        <v>18146.720394376618</v>
      </c>
      <c r="N9" s="9">
        <f t="shared" si="2"/>
        <v>50.407556651046164</v>
      </c>
      <c r="O9" s="10">
        <v>77</v>
      </c>
      <c r="P9" s="3">
        <v>60</v>
      </c>
      <c r="Q9" s="3"/>
      <c r="R9" s="3">
        <v>40</v>
      </c>
      <c r="S9" s="8">
        <f t="shared" si="3"/>
        <v>8922.1375272351706</v>
      </c>
      <c r="T9" s="7">
        <f t="shared" si="4"/>
        <v>3</v>
      </c>
      <c r="U9" s="3">
        <v>0</v>
      </c>
      <c r="V9" s="8">
        <f t="shared" si="5"/>
        <v>151.22266995313851</v>
      </c>
      <c r="W9" s="8"/>
      <c r="X9" s="11">
        <f t="shared" si="6"/>
        <v>0</v>
      </c>
    </row>
    <row r="10" spans="1:24" ht="15.5" x14ac:dyDescent="0.35">
      <c r="A10" s="1" t="s">
        <v>131</v>
      </c>
      <c r="B10" s="2" t="s">
        <v>29</v>
      </c>
      <c r="C10" s="3" t="s">
        <v>39</v>
      </c>
      <c r="D10" s="18" t="str">
        <f t="shared" si="0"/>
        <v>ago</v>
      </c>
      <c r="E10" s="5">
        <v>45896</v>
      </c>
      <c r="F10" s="6">
        <v>45912</v>
      </c>
      <c r="G10" s="7">
        <v>20</v>
      </c>
      <c r="H10" s="7">
        <v>2558</v>
      </c>
      <c r="I10" s="7">
        <v>676</v>
      </c>
      <c r="J10" s="8">
        <v>15223.37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18074.854488888883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17258.289450980392</v>
      </c>
      <c r="M10" s="8">
        <f t="shared" si="1"/>
        <v>50556.51393986927</v>
      </c>
      <c r="N10" s="9">
        <f t="shared" si="2"/>
        <v>19.764078944436775</v>
      </c>
      <c r="O10" s="40">
        <v>446</v>
      </c>
      <c r="P10" s="27">
        <v>120</v>
      </c>
      <c r="Q10" s="27"/>
      <c r="R10" s="27">
        <v>110</v>
      </c>
      <c r="S10" s="8">
        <f t="shared" si="3"/>
        <v>13360.517366439261</v>
      </c>
      <c r="T10" s="41">
        <f t="shared" si="4"/>
        <v>0</v>
      </c>
      <c r="U10" s="42">
        <v>0</v>
      </c>
      <c r="V10" s="8">
        <f t="shared" si="5"/>
        <v>0</v>
      </c>
      <c r="W10" s="8"/>
      <c r="X10" s="11">
        <f t="shared" si="6"/>
        <v>0</v>
      </c>
    </row>
    <row r="11" spans="1:24" ht="15.5" x14ac:dyDescent="0.35">
      <c r="A11" s="1">
        <v>1100</v>
      </c>
      <c r="B11" s="2" t="s">
        <v>23</v>
      </c>
      <c r="C11" s="3" t="s">
        <v>132</v>
      </c>
      <c r="D11" s="18" t="str">
        <f t="shared" si="0"/>
        <v>ago</v>
      </c>
      <c r="E11" s="5">
        <v>45897</v>
      </c>
      <c r="F11" s="6">
        <v>45930</v>
      </c>
      <c r="G11" s="7">
        <v>8</v>
      </c>
      <c r="H11" s="7">
        <v>920</v>
      </c>
      <c r="I11" s="7">
        <v>920</v>
      </c>
      <c r="J11" s="8">
        <v>14985.1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12253.564914046119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5069.7694709581947</v>
      </c>
      <c r="M11" s="8">
        <f t="shared" si="1"/>
        <v>32308.434385004315</v>
      </c>
      <c r="N11" s="9">
        <f t="shared" si="2"/>
        <v>35.117863461961214</v>
      </c>
      <c r="O11" s="10">
        <v>536</v>
      </c>
      <c r="P11" s="3">
        <v>240</v>
      </c>
      <c r="Q11" s="3">
        <v>60</v>
      </c>
      <c r="R11" s="3">
        <v>80</v>
      </c>
      <c r="S11" s="8">
        <f t="shared" si="3"/>
        <v>32167.962931156471</v>
      </c>
      <c r="T11" s="7">
        <f t="shared" si="4"/>
        <v>4</v>
      </c>
      <c r="U11" s="3">
        <v>0</v>
      </c>
      <c r="V11" s="8">
        <f t="shared" si="5"/>
        <v>140.47145384784486</v>
      </c>
      <c r="W11" s="8"/>
      <c r="X11" s="11">
        <f t="shared" si="6"/>
        <v>0</v>
      </c>
    </row>
    <row r="12" spans="1:24" ht="15.5" x14ac:dyDescent="0.35">
      <c r="A12" s="1">
        <v>1101</v>
      </c>
      <c r="B12" s="2" t="s">
        <v>23</v>
      </c>
      <c r="C12" s="3" t="s">
        <v>32</v>
      </c>
      <c r="D12" s="18" t="str">
        <f t="shared" si="0"/>
        <v>ago</v>
      </c>
      <c r="E12" s="5">
        <v>45898</v>
      </c>
      <c r="F12" s="6">
        <v>45929</v>
      </c>
      <c r="G12" s="7">
        <v>3</v>
      </c>
      <c r="H12" s="7">
        <v>349</v>
      </c>
      <c r="I12" s="7">
        <v>349</v>
      </c>
      <c r="J12" s="8">
        <v>11237.41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4595.0868427672949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1901.1635516093229</v>
      </c>
      <c r="M12" s="8">
        <f t="shared" si="1"/>
        <v>17733.660394376617</v>
      </c>
      <c r="N12" s="9">
        <f t="shared" si="2"/>
        <v>50.812780499646465</v>
      </c>
      <c r="O12" s="10">
        <v>240</v>
      </c>
      <c r="P12" s="3">
        <v>109</v>
      </c>
      <c r="Q12" s="3"/>
      <c r="R12" s="3"/>
      <c r="S12" s="8">
        <f t="shared" si="3"/>
        <v>17733.660394376617</v>
      </c>
      <c r="T12" s="7">
        <f t="shared" si="4"/>
        <v>0</v>
      </c>
      <c r="U12" s="3">
        <v>0</v>
      </c>
      <c r="V12" s="8">
        <f t="shared" si="5"/>
        <v>0</v>
      </c>
      <c r="W12" s="8"/>
      <c r="X12" s="11">
        <f t="shared" si="6"/>
        <v>0</v>
      </c>
    </row>
    <row r="13" spans="1:24" ht="15.5" x14ac:dyDescent="0.35">
      <c r="A13" s="1">
        <v>1102</v>
      </c>
      <c r="B13" s="2" t="s">
        <v>23</v>
      </c>
      <c r="C13" s="3" t="s">
        <v>35</v>
      </c>
      <c r="D13" s="18" t="str">
        <f t="shared" si="0"/>
        <v>sep</v>
      </c>
      <c r="E13" s="5">
        <v>45902</v>
      </c>
      <c r="F13" s="6">
        <v>45919</v>
      </c>
      <c r="G13" s="7">
        <v>4</v>
      </c>
      <c r="H13" s="7">
        <v>480</v>
      </c>
      <c r="I13" s="7">
        <v>303</v>
      </c>
      <c r="J13" s="8">
        <v>7016.63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8487.9730006930022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3505.3979579579577</v>
      </c>
      <c r="M13" s="8">
        <f t="shared" si="1"/>
        <v>19010.000958650959</v>
      </c>
      <c r="N13" s="9">
        <f t="shared" si="2"/>
        <v>39.604168663856164</v>
      </c>
      <c r="O13" s="10">
        <v>180</v>
      </c>
      <c r="P13" s="3">
        <v>120</v>
      </c>
      <c r="Q13" s="3"/>
      <c r="R13" s="3"/>
      <c r="S13" s="8">
        <f t="shared" si="3"/>
        <v>11881.250599156849</v>
      </c>
      <c r="T13" s="7">
        <f t="shared" si="4"/>
        <v>3</v>
      </c>
      <c r="U13" s="3">
        <v>0</v>
      </c>
      <c r="V13" s="8">
        <f t="shared" si="5"/>
        <v>118.81250599156849</v>
      </c>
      <c r="W13" s="8"/>
      <c r="X13" s="11">
        <f t="shared" si="6"/>
        <v>0</v>
      </c>
    </row>
    <row r="14" spans="1:24" ht="15.5" x14ac:dyDescent="0.35">
      <c r="A14" s="1" t="s">
        <v>135</v>
      </c>
      <c r="B14" s="2" t="s">
        <v>29</v>
      </c>
      <c r="C14" s="3" t="s">
        <v>34</v>
      </c>
      <c r="D14" s="18" t="str">
        <f t="shared" si="0"/>
        <v>sep</v>
      </c>
      <c r="E14" s="5">
        <v>45904</v>
      </c>
      <c r="F14" s="6">
        <v>45923</v>
      </c>
      <c r="G14" s="7">
        <v>20</v>
      </c>
      <c r="H14" s="7">
        <v>2300</v>
      </c>
      <c r="I14" s="7">
        <v>1300</v>
      </c>
      <c r="J14" s="8">
        <v>46087.94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25401.507435897438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22088.472222222223</v>
      </c>
      <c r="M14" s="8">
        <f t="shared" si="1"/>
        <v>93577.919658119659</v>
      </c>
      <c r="N14" s="9">
        <f t="shared" si="2"/>
        <v>40.686052025269419</v>
      </c>
      <c r="O14" s="40">
        <v>602</v>
      </c>
      <c r="P14" s="27">
        <v>240</v>
      </c>
      <c r="Q14" s="27">
        <v>60</v>
      </c>
      <c r="R14" s="27">
        <v>380</v>
      </c>
      <c r="S14" s="8">
        <f t="shared" si="3"/>
        <v>52159.518696395397</v>
      </c>
      <c r="T14" s="41">
        <f t="shared" si="4"/>
        <v>18</v>
      </c>
      <c r="U14" s="42">
        <v>0</v>
      </c>
      <c r="V14" s="8">
        <f t="shared" si="5"/>
        <v>732.34893645484954</v>
      </c>
      <c r="W14" s="8"/>
      <c r="X14" s="11">
        <f t="shared" si="6"/>
        <v>0</v>
      </c>
    </row>
    <row r="15" spans="1:24" ht="15.5" x14ac:dyDescent="0.35">
      <c r="A15" s="1">
        <v>1103</v>
      </c>
      <c r="B15" s="2" t="s">
        <v>23</v>
      </c>
      <c r="C15" s="3" t="s">
        <v>36</v>
      </c>
      <c r="D15" s="18" t="str">
        <f t="shared" si="0"/>
        <v>sep</v>
      </c>
      <c r="E15" s="5">
        <v>45904</v>
      </c>
      <c r="F15" s="6">
        <v>45922</v>
      </c>
      <c r="G15" s="7">
        <v>8</v>
      </c>
      <c r="H15" s="7">
        <v>873</v>
      </c>
      <c r="I15" s="7">
        <v>695</v>
      </c>
      <c r="J15" s="8">
        <v>15533.68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16975.946001386004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7010.7959159159154</v>
      </c>
      <c r="M15" s="8">
        <f t="shared" si="1"/>
        <v>39520.421917301923</v>
      </c>
      <c r="N15" s="9">
        <f t="shared" si="2"/>
        <v>45.269670008364173</v>
      </c>
      <c r="O15" s="10">
        <v>432</v>
      </c>
      <c r="P15" s="3">
        <v>60</v>
      </c>
      <c r="Q15" s="3"/>
      <c r="R15" s="3">
        <v>210</v>
      </c>
      <c r="S15" s="8">
        <f t="shared" si="3"/>
        <v>31779.30834587165</v>
      </c>
      <c r="T15" s="7">
        <f t="shared" si="4"/>
        <v>-7</v>
      </c>
      <c r="U15" s="3">
        <v>0</v>
      </c>
      <c r="V15" s="8">
        <f t="shared" si="5"/>
        <v>-316.8876900585492</v>
      </c>
      <c r="W15" s="8"/>
      <c r="X15" s="11">
        <f t="shared" si="6"/>
        <v>0</v>
      </c>
    </row>
    <row r="16" spans="1:24" ht="15.5" x14ac:dyDescent="0.35">
      <c r="A16" s="1">
        <v>1104</v>
      </c>
      <c r="B16" s="2" t="s">
        <v>23</v>
      </c>
      <c r="C16" s="3" t="s">
        <v>79</v>
      </c>
      <c r="D16" s="18" t="str">
        <f t="shared" si="0"/>
        <v>sep</v>
      </c>
      <c r="E16" s="5">
        <v>45905</v>
      </c>
      <c r="F16" s="6">
        <v>45938</v>
      </c>
      <c r="G16" s="7">
        <v>3</v>
      </c>
      <c r="H16" s="7">
        <v>349</v>
      </c>
      <c r="I16" s="7">
        <v>349</v>
      </c>
      <c r="J16" s="8">
        <v>7998.34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6365.9797505197512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2629.0484684684684</v>
      </c>
      <c r="M16" s="8">
        <f t="shared" si="1"/>
        <v>16993.36821898822</v>
      </c>
      <c r="N16" s="9">
        <f t="shared" si="2"/>
        <v>48.691599481341605</v>
      </c>
      <c r="O16" s="10">
        <v>278</v>
      </c>
      <c r="P16" s="3">
        <v>49</v>
      </c>
      <c r="Q16" s="3"/>
      <c r="R16" s="3">
        <v>30</v>
      </c>
      <c r="S16" s="8">
        <f t="shared" si="3"/>
        <v>17382.901014838953</v>
      </c>
      <c r="T16" s="7">
        <f t="shared" si="4"/>
        <v>-8</v>
      </c>
      <c r="U16" s="3">
        <v>0</v>
      </c>
      <c r="V16" s="8">
        <f t="shared" si="5"/>
        <v>-389.53279585073284</v>
      </c>
      <c r="W16" s="8"/>
      <c r="X16" s="11">
        <f t="shared" si="6"/>
        <v>0</v>
      </c>
    </row>
    <row r="17" spans="1:24" ht="15.5" x14ac:dyDescent="0.35">
      <c r="A17" s="1">
        <v>1105</v>
      </c>
      <c r="B17" s="2" t="s">
        <v>23</v>
      </c>
      <c r="C17" s="3" t="s">
        <v>31</v>
      </c>
      <c r="D17" s="18" t="str">
        <f t="shared" si="0"/>
        <v>sep</v>
      </c>
      <c r="E17" s="5">
        <v>45911</v>
      </c>
      <c r="F17" s="6">
        <v>45943</v>
      </c>
      <c r="G17" s="7">
        <v>4</v>
      </c>
      <c r="H17" s="7">
        <v>480</v>
      </c>
      <c r="I17" s="7">
        <v>480</v>
      </c>
      <c r="J17" s="17">
        <f>6692.96+2400</f>
        <v>9092.9599999999991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8487.9730006930022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3505.3979579579577</v>
      </c>
      <c r="M17" s="8">
        <f t="shared" si="1"/>
        <v>21086.33095865096</v>
      </c>
      <c r="N17" s="9">
        <f t="shared" si="2"/>
        <v>43.929856163856165</v>
      </c>
      <c r="O17" s="10">
        <v>300</v>
      </c>
      <c r="P17" s="3">
        <v>160</v>
      </c>
      <c r="Q17" s="3"/>
      <c r="R17" s="3">
        <v>20</v>
      </c>
      <c r="S17" s="8">
        <f t="shared" si="3"/>
        <v>21086.33095865096</v>
      </c>
      <c r="T17" s="7">
        <f t="shared" si="4"/>
        <v>0</v>
      </c>
      <c r="U17" s="3">
        <v>0</v>
      </c>
      <c r="V17" s="8">
        <f t="shared" si="5"/>
        <v>0</v>
      </c>
      <c r="W17" s="8"/>
      <c r="X17" s="11">
        <f t="shared" si="6"/>
        <v>0</v>
      </c>
    </row>
    <row r="18" spans="1:24" ht="15.5" x14ac:dyDescent="0.35">
      <c r="A18" s="1" t="s">
        <v>136</v>
      </c>
      <c r="B18" s="2" t="s">
        <v>29</v>
      </c>
      <c r="C18" s="3" t="s">
        <v>47</v>
      </c>
      <c r="D18" s="18" t="str">
        <f t="shared" si="0"/>
        <v>sep</v>
      </c>
      <c r="E18" s="5">
        <v>45911</v>
      </c>
      <c r="F18" s="6">
        <v>45926</v>
      </c>
      <c r="G18" s="7">
        <v>20</v>
      </c>
      <c r="H18" s="7">
        <v>2400</v>
      </c>
      <c r="I18" s="7">
        <v>2160</v>
      </c>
      <c r="J18" s="8">
        <v>28436.75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25401.507435897438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22088.472222222223</v>
      </c>
      <c r="M18" s="8">
        <f t="shared" si="1"/>
        <v>75926.729658119657</v>
      </c>
      <c r="N18" s="9">
        <f t="shared" si="2"/>
        <v>31.636137357549856</v>
      </c>
      <c r="O18" s="10">
        <v>1145</v>
      </c>
      <c r="P18" s="3">
        <v>430</v>
      </c>
      <c r="Q18" s="3">
        <v>60</v>
      </c>
      <c r="R18" s="3">
        <v>530</v>
      </c>
      <c r="S18" s="8">
        <f t="shared" si="3"/>
        <v>68492.237379095444</v>
      </c>
      <c r="T18" s="7">
        <f t="shared" si="4"/>
        <v>-5</v>
      </c>
      <c r="U18" s="3">
        <v>0</v>
      </c>
      <c r="V18" s="8">
        <f t="shared" si="5"/>
        <v>-158.18068678774927</v>
      </c>
      <c r="W18" s="8"/>
      <c r="X18" s="11">
        <f t="shared" si="6"/>
        <v>0</v>
      </c>
    </row>
    <row r="19" spans="1:24" ht="15.5" x14ac:dyDescent="0.35">
      <c r="A19" s="1">
        <v>1106</v>
      </c>
      <c r="B19" s="2" t="s">
        <v>23</v>
      </c>
      <c r="C19" s="3" t="s">
        <v>87</v>
      </c>
      <c r="D19" s="18" t="str">
        <f t="shared" si="0"/>
        <v>sep</v>
      </c>
      <c r="E19" s="5">
        <v>45917</v>
      </c>
      <c r="F19" s="6">
        <v>45936</v>
      </c>
      <c r="G19" s="7">
        <v>3</v>
      </c>
      <c r="H19" s="7">
        <v>356</v>
      </c>
      <c r="I19" s="7">
        <v>356</v>
      </c>
      <c r="J19" s="8">
        <v>6445.23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6365.9797505197512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2629.0484684684684</v>
      </c>
      <c r="M19" s="8">
        <f t="shared" si="1"/>
        <v>15440.25821898822</v>
      </c>
      <c r="N19" s="9">
        <f t="shared" si="2"/>
        <v>43.371511851090503</v>
      </c>
      <c r="O19" s="10">
        <v>300</v>
      </c>
      <c r="P19" s="3">
        <v>56</v>
      </c>
      <c r="Q19" s="3"/>
      <c r="R19" s="3"/>
      <c r="S19" s="8">
        <f t="shared" si="3"/>
        <v>15440.25821898822</v>
      </c>
      <c r="T19" s="7">
        <f t="shared" si="4"/>
        <v>0</v>
      </c>
      <c r="U19" s="3">
        <v>0</v>
      </c>
      <c r="V19" s="8">
        <f t="shared" si="5"/>
        <v>0</v>
      </c>
      <c r="W19" s="8"/>
      <c r="X19" s="11">
        <f t="shared" si="6"/>
        <v>0</v>
      </c>
    </row>
    <row r="20" spans="1:24" ht="15.5" x14ac:dyDescent="0.35">
      <c r="A20" s="1" t="s">
        <v>137</v>
      </c>
      <c r="B20" s="2" t="s">
        <v>29</v>
      </c>
      <c r="C20" s="3" t="s">
        <v>138</v>
      </c>
      <c r="D20" s="18" t="str">
        <f t="shared" si="0"/>
        <v>sep</v>
      </c>
      <c r="E20" s="5">
        <v>45919</v>
      </c>
      <c r="F20" s="6">
        <v>45940</v>
      </c>
      <c r="G20" s="7">
        <v>40</v>
      </c>
      <c r="H20" s="7">
        <v>4528</v>
      </c>
      <c r="I20" s="7">
        <v>4528</v>
      </c>
      <c r="J20" s="19">
        <f>115767.66-2586.21-10597</f>
        <v>102584.45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50803.014871794876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44176.944444444445</v>
      </c>
      <c r="M20" s="8">
        <f t="shared" si="1"/>
        <v>197564.4093162393</v>
      </c>
      <c r="N20" s="9">
        <f t="shared" si="2"/>
        <v>43.631715838392068</v>
      </c>
      <c r="O20" s="10">
        <v>1359</v>
      </c>
      <c r="P20" s="3">
        <v>780</v>
      </c>
      <c r="Q20" s="3"/>
      <c r="R20" s="3">
        <v>2100</v>
      </c>
      <c r="S20" s="8">
        <f t="shared" si="3"/>
        <v>184954.84343894396</v>
      </c>
      <c r="T20" s="7">
        <f t="shared" si="4"/>
        <v>289</v>
      </c>
      <c r="U20" s="3">
        <v>289</v>
      </c>
      <c r="V20" s="8">
        <f t="shared" si="5"/>
        <v>0</v>
      </c>
      <c r="W20" s="8"/>
      <c r="X20" s="11">
        <f t="shared" si="6"/>
        <v>12609.565877295308</v>
      </c>
    </row>
    <row r="21" spans="1:24" ht="15.5" x14ac:dyDescent="0.35">
      <c r="A21" s="1">
        <v>1107</v>
      </c>
      <c r="B21" s="2" t="s">
        <v>23</v>
      </c>
      <c r="C21" s="3" t="s">
        <v>35</v>
      </c>
      <c r="D21" s="18" t="str">
        <f t="shared" si="0"/>
        <v>sep</v>
      </c>
      <c r="E21" s="5">
        <v>45922</v>
      </c>
      <c r="F21" s="6">
        <v>45937</v>
      </c>
      <c r="G21" s="7">
        <v>4</v>
      </c>
      <c r="H21" s="7">
        <v>450</v>
      </c>
      <c r="I21" s="7">
        <v>450</v>
      </c>
      <c r="J21" s="8">
        <v>5682.86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8487.9730006930022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3505.3979579579577</v>
      </c>
      <c r="M21" s="8">
        <f t="shared" si="1"/>
        <v>17676.230958650958</v>
      </c>
      <c r="N21" s="9">
        <f t="shared" si="2"/>
        <v>39.28051324144657</v>
      </c>
      <c r="O21" s="40">
        <v>286</v>
      </c>
      <c r="P21" s="27">
        <v>90</v>
      </c>
      <c r="Q21" s="27"/>
      <c r="R21" s="27">
        <v>70</v>
      </c>
      <c r="S21" s="8">
        <f t="shared" si="3"/>
        <v>17519.108905685171</v>
      </c>
      <c r="T21" s="41">
        <f t="shared" si="4"/>
        <v>4</v>
      </c>
      <c r="U21" s="42">
        <v>0</v>
      </c>
      <c r="V21" s="8">
        <f t="shared" si="5"/>
        <v>157.12205296578628</v>
      </c>
      <c r="W21" s="8"/>
      <c r="X21" s="11">
        <f t="shared" si="6"/>
        <v>0</v>
      </c>
    </row>
    <row r="22" spans="1:24" ht="15.5" x14ac:dyDescent="0.35">
      <c r="A22" s="1">
        <v>1108</v>
      </c>
      <c r="B22" s="2" t="s">
        <v>23</v>
      </c>
      <c r="C22" s="3" t="s">
        <v>59</v>
      </c>
      <c r="D22" s="18" t="str">
        <f t="shared" si="0"/>
        <v>sep</v>
      </c>
      <c r="E22" s="5">
        <v>45926</v>
      </c>
      <c r="F22" s="6">
        <v>45954</v>
      </c>
      <c r="G22" s="7">
        <v>8</v>
      </c>
      <c r="H22" s="7">
        <v>900</v>
      </c>
      <c r="I22" s="7">
        <v>900</v>
      </c>
      <c r="J22" s="8">
        <v>14122.53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16975.946001386004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7010.7959159159154</v>
      </c>
      <c r="M22" s="8">
        <f t="shared" si="1"/>
        <v>38109.271917301921</v>
      </c>
      <c r="N22" s="9">
        <f t="shared" si="2"/>
        <v>42.343635463668804</v>
      </c>
      <c r="O22" s="10">
        <v>76</v>
      </c>
      <c r="P22" s="3"/>
      <c r="Q22" s="3"/>
      <c r="R22" s="3">
        <v>40</v>
      </c>
      <c r="S22" s="8">
        <f t="shared" si="3"/>
        <v>4911.8617137855808</v>
      </c>
      <c r="T22" s="7">
        <f t="shared" si="4"/>
        <v>784</v>
      </c>
      <c r="U22" s="3">
        <v>784</v>
      </c>
      <c r="V22" s="8">
        <f t="shared" si="5"/>
        <v>0</v>
      </c>
      <c r="W22" s="8"/>
      <c r="X22" s="11">
        <f t="shared" si="6"/>
        <v>33197.410203516345</v>
      </c>
    </row>
    <row r="23" spans="1:24" ht="15.5" x14ac:dyDescent="0.35">
      <c r="A23" s="1">
        <v>1109</v>
      </c>
      <c r="B23" s="2" t="s">
        <v>23</v>
      </c>
      <c r="C23" s="3" t="s">
        <v>139</v>
      </c>
      <c r="D23" s="18" t="str">
        <f t="shared" si="0"/>
        <v>sep</v>
      </c>
      <c r="E23" s="5">
        <v>45930</v>
      </c>
      <c r="F23" s="6">
        <v>45951</v>
      </c>
      <c r="G23" s="7">
        <v>3</v>
      </c>
      <c r="H23" s="7">
        <v>360</v>
      </c>
      <c r="I23" s="7">
        <v>360</v>
      </c>
      <c r="J23" s="17">
        <f>9651.46+200</f>
        <v>9851.4599999999991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6365.9797505197512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2629.0484684684684</v>
      </c>
      <c r="M23" s="8">
        <f t="shared" si="1"/>
        <v>18846.488218988219</v>
      </c>
      <c r="N23" s="9">
        <f t="shared" si="2"/>
        <v>52.351356163856167</v>
      </c>
      <c r="O23" s="10">
        <v>180</v>
      </c>
      <c r="P23" s="3">
        <v>60</v>
      </c>
      <c r="Q23" s="3"/>
      <c r="R23" s="3"/>
      <c r="S23" s="8">
        <f t="shared" si="3"/>
        <v>12564.32547932548</v>
      </c>
      <c r="T23" s="7">
        <f t="shared" si="4"/>
        <v>120</v>
      </c>
      <c r="U23" s="3">
        <v>120</v>
      </c>
      <c r="V23" s="8">
        <f t="shared" si="5"/>
        <v>0</v>
      </c>
      <c r="W23" s="8"/>
      <c r="X23" s="11">
        <f t="shared" si="6"/>
        <v>6282.16273966274</v>
      </c>
    </row>
    <row r="24" spans="1:24" ht="15.5" x14ac:dyDescent="0.35">
      <c r="A24" s="1" t="s">
        <v>142</v>
      </c>
      <c r="B24" s="2" t="s">
        <v>29</v>
      </c>
      <c r="C24" s="3" t="s">
        <v>39</v>
      </c>
      <c r="D24" s="18" t="str">
        <f t="shared" si="0"/>
        <v>oct</v>
      </c>
      <c r="E24" s="5">
        <v>45931</v>
      </c>
      <c r="F24" s="6">
        <v>45945</v>
      </c>
      <c r="G24" s="7">
        <v>20</v>
      </c>
      <c r="H24" s="7">
        <v>2385</v>
      </c>
      <c r="I24" s="7"/>
      <c r="J24" s="8">
        <v>15939.49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17533.185031605353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11256.014689440995</v>
      </c>
      <c r="M24" s="8">
        <f t="shared" si="1"/>
        <v>44728.68972104635</v>
      </c>
      <c r="N24" s="9">
        <f t="shared" si="2"/>
        <v>18.754167597922997</v>
      </c>
      <c r="O24" s="10">
        <v>1234</v>
      </c>
      <c r="P24" s="3">
        <v>360</v>
      </c>
      <c r="Q24" s="3"/>
      <c r="R24" s="3">
        <v>370</v>
      </c>
      <c r="S24" s="8">
        <f t="shared" si="3"/>
        <v>36833.185162320769</v>
      </c>
      <c r="T24" s="43">
        <f t="shared" si="4"/>
        <v>421</v>
      </c>
      <c r="U24" s="27">
        <v>421</v>
      </c>
      <c r="V24" s="8">
        <f t="shared" si="5"/>
        <v>0</v>
      </c>
      <c r="W24" s="8"/>
      <c r="X24" s="11">
        <f t="shared" si="6"/>
        <v>7895.5045587255818</v>
      </c>
    </row>
    <row r="25" spans="1:24" ht="15.5" x14ac:dyDescent="0.35">
      <c r="A25" s="1">
        <v>1110</v>
      </c>
      <c r="B25" s="2" t="s">
        <v>23</v>
      </c>
      <c r="C25" s="3" t="s">
        <v>24</v>
      </c>
      <c r="D25" s="18" t="str">
        <f t="shared" si="0"/>
        <v>oct</v>
      </c>
      <c r="E25" s="5">
        <v>45933</v>
      </c>
      <c r="F25" s="6">
        <v>45944</v>
      </c>
      <c r="G25" s="7">
        <v>8</v>
      </c>
      <c r="H25" s="7">
        <v>890</v>
      </c>
      <c r="I25" s="7"/>
      <c r="J25" s="17">
        <f>11575.34+7989.5</f>
        <v>19564.84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12033.422650684101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5545.5540316205534</v>
      </c>
      <c r="M25" s="8">
        <f t="shared" si="1"/>
        <v>37143.816682304656</v>
      </c>
      <c r="N25" s="9">
        <f t="shared" si="2"/>
        <v>41.73462548573557</v>
      </c>
      <c r="O25" s="10">
        <v>428</v>
      </c>
      <c r="P25" s="3">
        <v>50</v>
      </c>
      <c r="Q25" s="3"/>
      <c r="R25" s="3">
        <v>110</v>
      </c>
      <c r="S25" s="8">
        <f t="shared" si="3"/>
        <v>24539.959785612515</v>
      </c>
      <c r="T25" s="7">
        <f t="shared" si="4"/>
        <v>302</v>
      </c>
      <c r="U25" s="3">
        <v>302</v>
      </c>
      <c r="V25" s="8">
        <f t="shared" si="5"/>
        <v>0</v>
      </c>
      <c r="W25" s="8"/>
      <c r="X25" s="11">
        <f t="shared" si="6"/>
        <v>12603.856896692143</v>
      </c>
    </row>
    <row r="26" spans="1:24" ht="15.5" x14ac:dyDescent="0.35">
      <c r="A26" s="1" t="s">
        <v>143</v>
      </c>
      <c r="B26" s="2" t="s">
        <v>29</v>
      </c>
      <c r="C26" s="3" t="s">
        <v>41</v>
      </c>
      <c r="D26" s="18" t="str">
        <f t="shared" si="0"/>
        <v>oct</v>
      </c>
      <c r="E26" s="5">
        <v>45938</v>
      </c>
      <c r="F26" s="6">
        <v>45958</v>
      </c>
      <c r="G26" s="7">
        <v>20</v>
      </c>
      <c r="H26" s="7">
        <v>2330</v>
      </c>
      <c r="I26" s="7"/>
      <c r="J26" s="8">
        <v>42174.34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17533.185031605353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11256.014689440995</v>
      </c>
      <c r="M26" s="8">
        <f t="shared" si="1"/>
        <v>70963.539721046342</v>
      </c>
      <c r="N26" s="9">
        <f t="shared" si="2"/>
        <v>30.456454815899718</v>
      </c>
      <c r="O26" s="10">
        <v>240</v>
      </c>
      <c r="P26" s="3">
        <v>60</v>
      </c>
      <c r="Q26" s="3"/>
      <c r="R26" s="3">
        <v>40</v>
      </c>
      <c r="S26" s="8">
        <f t="shared" si="3"/>
        <v>10355.194637405904</v>
      </c>
      <c r="T26" s="7">
        <f t="shared" si="4"/>
        <v>1990</v>
      </c>
      <c r="U26" s="3">
        <v>1990</v>
      </c>
      <c r="V26" s="8">
        <f t="shared" si="5"/>
        <v>0</v>
      </c>
      <c r="W26" s="8"/>
      <c r="X26" s="11">
        <f t="shared" si="6"/>
        <v>60608.345083640437</v>
      </c>
    </row>
    <row r="27" spans="1:24" ht="15.5" x14ac:dyDescent="0.35">
      <c r="A27" s="1">
        <v>1111</v>
      </c>
      <c r="B27" s="2" t="s">
        <v>23</v>
      </c>
      <c r="C27" s="3" t="s">
        <v>49</v>
      </c>
      <c r="D27" s="18" t="str">
        <f t="shared" si="0"/>
        <v>oct</v>
      </c>
      <c r="E27" s="5">
        <v>45937</v>
      </c>
      <c r="F27" s="6">
        <v>45957</v>
      </c>
      <c r="G27" s="7">
        <v>3</v>
      </c>
      <c r="H27" s="7">
        <v>360</v>
      </c>
      <c r="I27" s="7"/>
      <c r="J27" s="8">
        <v>10094.950000000001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4512.5334940065377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2079.5827618577077</v>
      </c>
      <c r="M27" s="8">
        <f t="shared" si="1"/>
        <v>16687.066255864243</v>
      </c>
      <c r="N27" s="9">
        <f t="shared" si="2"/>
        <v>46.35296182184512</v>
      </c>
      <c r="O27" s="10">
        <v>60</v>
      </c>
      <c r="P27" s="3"/>
      <c r="Q27" s="3"/>
      <c r="R27" s="3">
        <v>20</v>
      </c>
      <c r="S27" s="8">
        <f t="shared" si="3"/>
        <v>3708.2369457476098</v>
      </c>
      <c r="T27" s="7">
        <f t="shared" si="4"/>
        <v>280</v>
      </c>
      <c r="U27" s="3">
        <v>280</v>
      </c>
      <c r="V27" s="8">
        <f t="shared" si="5"/>
        <v>0</v>
      </c>
      <c r="W27" s="8"/>
      <c r="X27" s="11">
        <f t="shared" si="6"/>
        <v>12978.829310116635</v>
      </c>
    </row>
    <row r="28" spans="1:24" ht="15.5" x14ac:dyDescent="0.35">
      <c r="A28" s="1">
        <v>1112</v>
      </c>
      <c r="B28" s="2" t="s">
        <v>23</v>
      </c>
      <c r="C28" s="3" t="s">
        <v>144</v>
      </c>
      <c r="D28" s="18" t="str">
        <f t="shared" si="0"/>
        <v>oct</v>
      </c>
      <c r="E28" s="5">
        <v>45939</v>
      </c>
      <c r="F28" s="6">
        <v>45971</v>
      </c>
      <c r="G28" s="7">
        <v>4</v>
      </c>
      <c r="H28" s="7">
        <v>435</v>
      </c>
      <c r="I28" s="7"/>
      <c r="J28" s="8">
        <v>7646.86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6016.7113253420503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2772.7770158102767</v>
      </c>
      <c r="M28" s="8">
        <f t="shared" si="1"/>
        <v>16436.348341152327</v>
      </c>
      <c r="N28" s="9">
        <f t="shared" si="2"/>
        <v>37.784708830235232</v>
      </c>
      <c r="O28" s="10"/>
      <c r="P28" s="3"/>
      <c r="Q28" s="3"/>
      <c r="R28" s="3"/>
      <c r="S28" s="8">
        <f t="shared" si="3"/>
        <v>0</v>
      </c>
      <c r="T28" s="7">
        <f t="shared" si="4"/>
        <v>435</v>
      </c>
      <c r="U28" s="3">
        <v>435</v>
      </c>
      <c r="V28" s="8">
        <f t="shared" si="5"/>
        <v>0</v>
      </c>
      <c r="W28" s="8"/>
      <c r="X28" s="11">
        <f t="shared" si="6"/>
        <v>16436.348341152327</v>
      </c>
    </row>
    <row r="29" spans="1:24" ht="15.5" x14ac:dyDescent="0.35">
      <c r="A29" s="1">
        <v>1113</v>
      </c>
      <c r="B29" s="2" t="s">
        <v>23</v>
      </c>
      <c r="C29" s="3" t="s">
        <v>145</v>
      </c>
      <c r="D29" s="18" t="str">
        <f t="shared" si="0"/>
        <v>oct</v>
      </c>
      <c r="E29" s="5">
        <v>45940</v>
      </c>
      <c r="F29" s="6">
        <v>45964</v>
      </c>
      <c r="G29" s="7">
        <v>3</v>
      </c>
      <c r="H29" s="7">
        <v>322</v>
      </c>
      <c r="I29" s="7"/>
      <c r="J29" s="8">
        <v>6581.49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4512.5334940065377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2079.5827618577077</v>
      </c>
      <c r="M29" s="8">
        <f t="shared" si="1"/>
        <v>13173.606255864246</v>
      </c>
      <c r="N29" s="9">
        <f t="shared" si="2"/>
        <v>40.911820670385858</v>
      </c>
      <c r="O29" s="10"/>
      <c r="P29" s="3"/>
      <c r="Q29" s="3"/>
      <c r="R29" s="3"/>
      <c r="S29" s="8">
        <f t="shared" si="3"/>
        <v>0</v>
      </c>
      <c r="T29" s="7">
        <f t="shared" si="4"/>
        <v>322</v>
      </c>
      <c r="U29" s="3">
        <v>322</v>
      </c>
      <c r="V29" s="8">
        <f t="shared" si="5"/>
        <v>0</v>
      </c>
      <c r="W29" s="8"/>
      <c r="X29" s="11">
        <f t="shared" si="6"/>
        <v>13173.606255864246</v>
      </c>
    </row>
    <row r="30" spans="1:24" ht="15.5" x14ac:dyDescent="0.35">
      <c r="A30" s="1">
        <v>1114</v>
      </c>
      <c r="B30" s="2" t="s">
        <v>23</v>
      </c>
      <c r="C30" s="3" t="s">
        <v>83</v>
      </c>
      <c r="D30" s="18" t="str">
        <f t="shared" si="0"/>
        <v>oct</v>
      </c>
      <c r="E30" s="5">
        <v>45944</v>
      </c>
      <c r="F30" s="6">
        <v>45979</v>
      </c>
      <c r="G30" s="7">
        <v>4</v>
      </c>
      <c r="H30" s="7">
        <v>462</v>
      </c>
      <c r="I30" s="7"/>
      <c r="J30" s="8">
        <v>8010.73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6016.7113253420503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2772.7770158102767</v>
      </c>
      <c r="M30" s="8">
        <f t="shared" si="1"/>
        <v>16800.218341152326</v>
      </c>
      <c r="N30" s="9">
        <f t="shared" si="2"/>
        <v>36.36410896353317</v>
      </c>
      <c r="O30" s="10"/>
      <c r="P30" s="3"/>
      <c r="Q30" s="3"/>
      <c r="R30" s="3"/>
      <c r="S30" s="8">
        <f t="shared" si="3"/>
        <v>0</v>
      </c>
      <c r="T30" s="7">
        <f t="shared" si="4"/>
        <v>462</v>
      </c>
      <c r="U30" s="3">
        <v>462</v>
      </c>
      <c r="V30" s="8">
        <f t="shared" si="5"/>
        <v>0</v>
      </c>
      <c r="W30" s="8"/>
      <c r="X30" s="11">
        <f t="shared" si="6"/>
        <v>16800.218341152326</v>
      </c>
    </row>
    <row r="31" spans="1:24" ht="15.5" x14ac:dyDescent="0.35">
      <c r="A31" s="1">
        <v>1115</v>
      </c>
      <c r="B31" s="2" t="s">
        <v>23</v>
      </c>
      <c r="C31" s="3" t="s">
        <v>35</v>
      </c>
      <c r="D31" s="18" t="str">
        <f t="shared" si="0"/>
        <v>oct</v>
      </c>
      <c r="E31" s="5">
        <v>45945</v>
      </c>
      <c r="F31" s="6">
        <v>45958</v>
      </c>
      <c r="G31" s="7">
        <v>8</v>
      </c>
      <c r="H31" s="7">
        <v>902</v>
      </c>
      <c r="I31" s="7"/>
      <c r="J31" s="8">
        <v>14022.16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12033.422650684101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5545.5540316205534</v>
      </c>
      <c r="M31" s="8">
        <f t="shared" si="1"/>
        <v>31601.136682304656</v>
      </c>
      <c r="N31" s="9">
        <f t="shared" si="2"/>
        <v>35.034519603441971</v>
      </c>
      <c r="O31" s="10">
        <v>60</v>
      </c>
      <c r="P31" s="3"/>
      <c r="Q31" s="3"/>
      <c r="R31" s="3"/>
      <c r="S31" s="8">
        <f t="shared" si="3"/>
        <v>2102.0711762065184</v>
      </c>
      <c r="T31" s="7">
        <f t="shared" si="4"/>
        <v>842</v>
      </c>
      <c r="U31" s="3">
        <v>842</v>
      </c>
      <c r="V31" s="8">
        <f t="shared" si="5"/>
        <v>0</v>
      </c>
      <c r="W31" s="8"/>
      <c r="X31" s="11">
        <f t="shared" si="6"/>
        <v>29499.065506098141</v>
      </c>
    </row>
    <row r="32" spans="1:24" ht="15.5" x14ac:dyDescent="0.35">
      <c r="A32" s="1" t="s">
        <v>146</v>
      </c>
      <c r="B32" s="2" t="s">
        <v>29</v>
      </c>
      <c r="C32" s="3" t="s">
        <v>34</v>
      </c>
      <c r="D32" s="18" t="str">
        <f t="shared" si="0"/>
        <v>oct</v>
      </c>
      <c r="E32" s="5">
        <v>45947</v>
      </c>
      <c r="F32" s="6">
        <v>45965</v>
      </c>
      <c r="G32" s="7">
        <v>40</v>
      </c>
      <c r="H32" s="7">
        <v>4560</v>
      </c>
      <c r="I32" s="7"/>
      <c r="J32" s="8">
        <v>90056.05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35066.370063210707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22512.029378881991</v>
      </c>
      <c r="M32" s="8">
        <f t="shared" si="1"/>
        <v>147634.44944209271</v>
      </c>
      <c r="N32" s="9">
        <f t="shared" si="2"/>
        <v>32.375975754844895</v>
      </c>
      <c r="O32" s="10"/>
      <c r="P32" s="3"/>
      <c r="Q32" s="3"/>
      <c r="R32" s="3"/>
      <c r="S32" s="8">
        <f t="shared" si="3"/>
        <v>0</v>
      </c>
      <c r="T32" s="7">
        <f t="shared" si="4"/>
        <v>4560</v>
      </c>
      <c r="U32" s="3">
        <v>4560</v>
      </c>
      <c r="V32" s="8">
        <f t="shared" si="5"/>
        <v>0</v>
      </c>
      <c r="W32" s="8"/>
      <c r="X32" s="11">
        <f t="shared" si="6"/>
        <v>147634.44944209271</v>
      </c>
    </row>
    <row r="33" spans="1:24" ht="15.5" x14ac:dyDescent="0.35">
      <c r="A33" s="1">
        <v>1116</v>
      </c>
      <c r="B33" s="2" t="s">
        <v>23</v>
      </c>
      <c r="C33" s="3" t="s">
        <v>40</v>
      </c>
      <c r="D33" s="18" t="str">
        <f t="shared" si="0"/>
        <v>oct</v>
      </c>
      <c r="E33" s="5">
        <v>45953</v>
      </c>
      <c r="F33" s="6">
        <v>45973</v>
      </c>
      <c r="G33" s="7">
        <v>3</v>
      </c>
      <c r="H33" s="7">
        <v>360</v>
      </c>
      <c r="I33" s="7"/>
      <c r="J33" s="8">
        <v>10372.879999999999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4512.5334940065377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2079.5827618577077</v>
      </c>
      <c r="M33" s="8">
        <f t="shared" si="1"/>
        <v>16964.996255864244</v>
      </c>
      <c r="N33" s="9">
        <f t="shared" si="2"/>
        <v>47.1249895996229</v>
      </c>
      <c r="O33" s="10"/>
      <c r="P33" s="3"/>
      <c r="Q33" s="3"/>
      <c r="R33" s="3"/>
      <c r="S33" s="8">
        <f t="shared" si="3"/>
        <v>0</v>
      </c>
      <c r="T33" s="7">
        <f t="shared" si="4"/>
        <v>360</v>
      </c>
      <c r="U33" s="3">
        <v>360</v>
      </c>
      <c r="V33" s="8">
        <f t="shared" si="5"/>
        <v>0</v>
      </c>
      <c r="W33" s="8"/>
      <c r="X33" s="11">
        <f t="shared" si="6"/>
        <v>16964.996255864244</v>
      </c>
    </row>
    <row r="34" spans="1:24" ht="15.5" x14ac:dyDescent="0.35">
      <c r="A34" s="1" t="s">
        <v>147</v>
      </c>
      <c r="B34" s="2" t="s">
        <v>29</v>
      </c>
      <c r="C34" s="3" t="s">
        <v>47</v>
      </c>
      <c r="D34" s="18" t="str">
        <f t="shared" si="0"/>
        <v>oct</v>
      </c>
      <c r="E34" s="5">
        <v>45953</v>
      </c>
      <c r="F34" s="6">
        <v>45966</v>
      </c>
      <c r="G34" s="7">
        <v>20</v>
      </c>
      <c r="H34" s="7">
        <v>2370</v>
      </c>
      <c r="I34" s="7"/>
      <c r="J34" s="8">
        <v>29172.94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17533.185031605353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11256.014689440995</v>
      </c>
      <c r="M34" s="8">
        <f t="shared" si="1"/>
        <v>57962.139721046347</v>
      </c>
      <c r="N34" s="9">
        <f t="shared" si="2"/>
        <v>24.456599038416179</v>
      </c>
      <c r="O34" s="10"/>
      <c r="P34" s="3"/>
      <c r="Q34" s="3"/>
      <c r="R34" s="3"/>
      <c r="S34" s="8">
        <f t="shared" si="3"/>
        <v>0</v>
      </c>
      <c r="T34" s="7">
        <f t="shared" si="4"/>
        <v>2370</v>
      </c>
      <c r="U34" s="3">
        <v>2370</v>
      </c>
      <c r="V34" s="8">
        <f t="shared" si="5"/>
        <v>0</v>
      </c>
      <c r="W34" s="8"/>
      <c r="X34" s="11">
        <f t="shared" si="6"/>
        <v>57962.139721046347</v>
      </c>
    </row>
    <row r="35" spans="1:24" ht="15.5" x14ac:dyDescent="0.35">
      <c r="A35" s="1">
        <v>1117</v>
      </c>
      <c r="B35" s="2" t="s">
        <v>23</v>
      </c>
      <c r="C35" s="3" t="s">
        <v>24</v>
      </c>
      <c r="D35" s="18" t="str">
        <f t="shared" si="0"/>
        <v>oct</v>
      </c>
      <c r="E35" s="5">
        <v>45958</v>
      </c>
      <c r="F35" s="6">
        <v>45972</v>
      </c>
      <c r="G35" s="7">
        <v>8</v>
      </c>
      <c r="H35" s="7">
        <v>855</v>
      </c>
      <c r="I35" s="7"/>
      <c r="J35" s="17">
        <f>11682.26+7999.475</f>
        <v>19681.735000000001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12033.422650684101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5545.5540316205534</v>
      </c>
      <c r="M35" s="8">
        <f t="shared" si="1"/>
        <v>37260.711682304653</v>
      </c>
      <c r="N35" s="9">
        <f t="shared" si="2"/>
        <v>43.579779745385558</v>
      </c>
      <c r="O35" s="10"/>
      <c r="P35" s="3"/>
      <c r="Q35" s="3"/>
      <c r="R35" s="3"/>
      <c r="S35" s="8">
        <f t="shared" si="3"/>
        <v>0</v>
      </c>
      <c r="T35" s="7">
        <f t="shared" si="4"/>
        <v>855</v>
      </c>
      <c r="U35" s="3">
        <v>855</v>
      </c>
      <c r="V35" s="8">
        <f t="shared" si="5"/>
        <v>0</v>
      </c>
      <c r="W35" s="8"/>
      <c r="X35" s="11">
        <f t="shared" si="6"/>
        <v>37260.711682304653</v>
      </c>
    </row>
    <row r="36" spans="1:24" ht="15.5" x14ac:dyDescent="0.35">
      <c r="A36" s="1">
        <v>1118</v>
      </c>
      <c r="B36" s="2" t="s">
        <v>23</v>
      </c>
      <c r="C36" s="3" t="s">
        <v>148</v>
      </c>
      <c r="D36" s="18" t="str">
        <f t="shared" si="0"/>
        <v>oct</v>
      </c>
      <c r="E36" s="5">
        <v>45960</v>
      </c>
      <c r="F36" s="6">
        <v>45981</v>
      </c>
      <c r="G36" s="7">
        <v>3</v>
      </c>
      <c r="H36" s="7">
        <v>360</v>
      </c>
      <c r="I36" s="7"/>
      <c r="J36" s="8">
        <v>7285.09</v>
      </c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4512.5334940065377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2079.5827618577077</v>
      </c>
      <c r="M36" s="8">
        <f t="shared" si="1"/>
        <v>13877.206255864245</v>
      </c>
      <c r="N36" s="9">
        <f t="shared" si="2"/>
        <v>38.547795155178456</v>
      </c>
      <c r="O36" s="10"/>
      <c r="P36" s="3"/>
      <c r="Q36" s="3"/>
      <c r="R36" s="3"/>
      <c r="S36" s="8">
        <f t="shared" si="3"/>
        <v>0</v>
      </c>
      <c r="T36" s="7">
        <f t="shared" si="4"/>
        <v>360</v>
      </c>
      <c r="U36" s="3">
        <v>360</v>
      </c>
      <c r="V36" s="8">
        <f t="shared" si="5"/>
        <v>0</v>
      </c>
      <c r="W36" s="8"/>
      <c r="X36" s="11">
        <f t="shared" si="6"/>
        <v>13877.206255864245</v>
      </c>
    </row>
    <row r="37" spans="1:24" ht="15.5" x14ac:dyDescent="0.35">
      <c r="A37" s="1" t="s">
        <v>149</v>
      </c>
      <c r="B37" s="2" t="s">
        <v>29</v>
      </c>
      <c r="C37" s="3" t="s">
        <v>39</v>
      </c>
      <c r="D37" s="18" t="str">
        <f t="shared" si="0"/>
        <v>oct</v>
      </c>
      <c r="E37" s="5">
        <v>45961</v>
      </c>
      <c r="F37" s="6">
        <v>45973</v>
      </c>
      <c r="G37" s="7">
        <v>40</v>
      </c>
      <c r="H37" s="7">
        <v>4940</v>
      </c>
      <c r="I37" s="7"/>
      <c r="J37" s="8">
        <v>28526.27</v>
      </c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35066.370063210707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22512.029378881991</v>
      </c>
      <c r="M37" s="8">
        <f t="shared" si="1"/>
        <v>86104.669442092709</v>
      </c>
      <c r="N37" s="9">
        <f t="shared" si="2"/>
        <v>17.430095028763706</v>
      </c>
      <c r="O37" s="10"/>
      <c r="P37" s="3"/>
      <c r="Q37" s="3"/>
      <c r="R37" s="3"/>
      <c r="S37" s="8">
        <f t="shared" si="3"/>
        <v>0</v>
      </c>
      <c r="T37" s="7">
        <f t="shared" si="4"/>
        <v>4940</v>
      </c>
      <c r="U37" s="3">
        <v>4940</v>
      </c>
      <c r="V37" s="8">
        <f t="shared" si="5"/>
        <v>0</v>
      </c>
      <c r="W37" s="8"/>
      <c r="X37" s="11">
        <f t="shared" si="6"/>
        <v>86104.669442092709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39" spans="1:24" ht="15.5" x14ac:dyDescent="0.35">
      <c r="A39" s="1"/>
      <c r="B39" s="2"/>
      <c r="C39" s="3"/>
      <c r="D39" s="18" t="str">
        <f t="shared" si="0"/>
        <v>-</v>
      </c>
      <c r="E39" s="20"/>
      <c r="F39" s="7"/>
      <c r="G39" s="7"/>
      <c r="H39" s="7"/>
      <c r="I39" s="7"/>
      <c r="J39" s="8"/>
      <c r="K39" s="8">
        <f>IFERROR(((SUMIFS(MOIndirectos!$E$34:$E$132,MOIndirectos!$B$34:$B$132,"Mano de Obra",MOIndirectos!$C$34:$C$132,$D39,MOIndirectos!$D$34:$D$132,$B39))/(SUMIFS(MOIndirectos!$E$34:$E$132,MOIndirectos!$B$34:$B$132,"Produccion",MOIndirectos!$C$34:$C$132,$D39,MOIndirectos!$D$34:$D$132,$B39))*$G39),0)</f>
        <v>0</v>
      </c>
      <c r="L39" s="8">
        <f>IFERROR(((SUMIFS(MOIndirectos!$E$34:$E$132,MOIndirectos!$B$34:$B$132,"Indirectos",MOIndirectos!$C$34:$C$132,$D39,MOIndirectos!$D$34:$D$132,$B39))/(SUMIFS(MOIndirectos!$E$34:$E$132,MOIndirectos!$B$34:$B$132,"Produccion",MOIndirectos!$C$34:$C$132,$D39,MOIndirectos!$D$34:$D$132,$B39))*$G39),0)</f>
        <v>0</v>
      </c>
      <c r="M39" s="8">
        <f t="shared" si="1"/>
        <v>0</v>
      </c>
      <c r="N39" s="9" t="str">
        <f t="shared" si="2"/>
        <v>N/A</v>
      </c>
      <c r="O39" s="10"/>
      <c r="P39" s="3"/>
      <c r="Q39" s="3"/>
      <c r="R39" s="3"/>
      <c r="S39" s="8">
        <f t="shared" si="3"/>
        <v>0</v>
      </c>
      <c r="T39" s="7">
        <f t="shared" si="4"/>
        <v>0</v>
      </c>
      <c r="U39" s="3"/>
      <c r="V39" s="8">
        <f t="shared" si="5"/>
        <v>0</v>
      </c>
      <c r="W39" s="8"/>
      <c r="X39" s="11">
        <f t="shared" si="6"/>
        <v>0</v>
      </c>
    </row>
    <row r="40" spans="1:24" ht="15.5" x14ac:dyDescent="0.35">
      <c r="A40" s="1"/>
      <c r="B40" s="2"/>
      <c r="C40" s="3"/>
      <c r="D40" s="18" t="str">
        <f t="shared" si="0"/>
        <v>-</v>
      </c>
      <c r="E40" s="20"/>
      <c r="F40" s="7"/>
      <c r="G40" s="7"/>
      <c r="H40" s="7"/>
      <c r="I40" s="7"/>
      <c r="J40" s="8"/>
      <c r="K40" s="8">
        <f>IFERROR(((SUMIFS(MOIndirectos!$E$34:$E$132,MOIndirectos!$B$34:$B$132,"Mano de Obra",MOIndirectos!$C$34:$C$132,$D40,MOIndirectos!$D$34:$D$132,$B40))/(SUMIFS(MOIndirectos!$E$34:$E$132,MOIndirectos!$B$34:$B$132,"Produccion",MOIndirectos!$C$34:$C$132,$D40,MOIndirectos!$D$34:$D$132,$B40))*$G40),0)</f>
        <v>0</v>
      </c>
      <c r="L40" s="8">
        <f>IFERROR(((SUMIFS(MOIndirectos!$E$34:$E$132,MOIndirectos!$B$34:$B$132,"Indirectos",MOIndirectos!$C$34:$C$132,$D40,MOIndirectos!$D$34:$D$132,$B40))/(SUMIFS(MOIndirectos!$E$34:$E$132,MOIndirectos!$B$34:$B$132,"Produccion",MOIndirectos!$C$34:$C$132,$D40,MOIndirectos!$D$34:$D$132,$B40))*$G40),0)</f>
        <v>0</v>
      </c>
      <c r="M40" s="8">
        <f t="shared" si="1"/>
        <v>0</v>
      </c>
      <c r="N40" s="9" t="str">
        <f t="shared" si="2"/>
        <v>N/A</v>
      </c>
      <c r="O40" s="10"/>
      <c r="P40" s="3"/>
      <c r="Q40" s="3"/>
      <c r="R40" s="3"/>
      <c r="S40" s="8">
        <f t="shared" si="3"/>
        <v>0</v>
      </c>
      <c r="T40" s="7">
        <f t="shared" si="4"/>
        <v>0</v>
      </c>
      <c r="U40" s="3"/>
      <c r="V40" s="8">
        <f t="shared" si="5"/>
        <v>0</v>
      </c>
      <c r="W40" s="8"/>
      <c r="X40" s="11">
        <f t="shared" si="6"/>
        <v>0</v>
      </c>
    </row>
    <row r="42" spans="1:24" ht="15.75" customHeight="1" x14ac:dyDescent="0.25">
      <c r="F42" s="22"/>
      <c r="H42" s="22">
        <v>309129.82500000007</v>
      </c>
      <c r="I42" s="22" t="s">
        <v>150</v>
      </c>
      <c r="J42" s="22">
        <f>SUMIF(D2:D40,I42,J2:J40)</f>
        <v>309129.82500000007</v>
      </c>
      <c r="K42" s="22">
        <v>272230.2</v>
      </c>
      <c r="M42" s="22">
        <f>SUMIF(D2:D40,I42,M2:M40)</f>
        <v>607338.59480000008</v>
      </c>
      <c r="N42" s="22"/>
    </row>
    <row r="43" spans="1:24" ht="15.75" customHeight="1" x14ac:dyDescent="0.25">
      <c r="J43" s="22"/>
      <c r="U43" s="21" t="s">
        <v>61</v>
      </c>
      <c r="V43" s="21" t="s">
        <v>62</v>
      </c>
    </row>
    <row r="44" spans="1:24" ht="15.75" customHeight="1" x14ac:dyDescent="0.25">
      <c r="F44" s="22"/>
      <c r="S44" s="21">
        <f t="shared" ref="S44:S45" si="7">W44*200</f>
        <v>1883.2</v>
      </c>
      <c r="T44" s="21" t="s">
        <v>63</v>
      </c>
      <c r="U44" s="21">
        <v>500</v>
      </c>
      <c r="V44" s="21">
        <f>9416/2</f>
        <v>4708</v>
      </c>
      <c r="W44" s="21">
        <f t="shared" ref="W44:W45" si="8">V44/U44</f>
        <v>9.4160000000000004</v>
      </c>
    </row>
    <row r="45" spans="1:24" ht="15.75" customHeight="1" x14ac:dyDescent="0.25">
      <c r="G45" s="22"/>
      <c r="I45" s="21" t="s">
        <v>64</v>
      </c>
      <c r="J45" s="21" t="s">
        <v>65</v>
      </c>
      <c r="K45" s="21" t="s">
        <v>66</v>
      </c>
      <c r="L45" s="21" t="s">
        <v>112</v>
      </c>
      <c r="M45" s="21" t="s">
        <v>101</v>
      </c>
      <c r="N45" s="21" t="s">
        <v>102</v>
      </c>
      <c r="O45" s="21" t="s">
        <v>70</v>
      </c>
      <c r="P45" s="21"/>
      <c r="Q45" s="21"/>
      <c r="R45" s="21" t="s">
        <v>71</v>
      </c>
      <c r="S45" s="21">
        <f t="shared" si="7"/>
        <v>3006.2999999999997</v>
      </c>
      <c r="T45" s="21" t="s">
        <v>72</v>
      </c>
      <c r="U45" s="21">
        <v>460</v>
      </c>
      <c r="V45" s="21">
        <v>6914.49</v>
      </c>
      <c r="W45" s="21">
        <f t="shared" si="8"/>
        <v>15.031499999999999</v>
      </c>
      <c r="X45" s="21">
        <f>ROUND(W45*150,2)</f>
        <v>2254.73</v>
      </c>
    </row>
    <row r="46" spans="1:24" ht="15.75" customHeight="1" x14ac:dyDescent="0.25">
      <c r="D46" s="22"/>
      <c r="E46" s="22"/>
      <c r="F46" s="21">
        <v>7989.5</v>
      </c>
      <c r="G46" s="21">
        <f t="shared" ref="G46:G50" si="9">SUM(I46:R46)</f>
        <v>7989.5</v>
      </c>
      <c r="H46" s="21" t="s">
        <v>24</v>
      </c>
      <c r="I46" s="24">
        <v>300</v>
      </c>
      <c r="J46" s="24">
        <v>4889.5</v>
      </c>
      <c r="K46" s="24">
        <v>2750</v>
      </c>
      <c r="L46" s="24"/>
      <c r="M46" s="24"/>
      <c r="N46" s="24"/>
      <c r="O46" s="24"/>
      <c r="P46" s="24"/>
      <c r="Q46" s="24"/>
      <c r="R46" s="24">
        <v>50</v>
      </c>
      <c r="S46" s="21">
        <f>ROUND(S45+S44,2)</f>
        <v>4889.5</v>
      </c>
    </row>
    <row r="47" spans="1:24" ht="15.75" customHeight="1" x14ac:dyDescent="0.25">
      <c r="D47" s="22"/>
      <c r="E47" s="22"/>
      <c r="F47" s="21">
        <v>8049.4750000000004</v>
      </c>
      <c r="G47" s="21">
        <f t="shared" si="9"/>
        <v>8049.4750000000004</v>
      </c>
      <c r="H47" s="21" t="s">
        <v>24</v>
      </c>
      <c r="I47" s="24">
        <v>300</v>
      </c>
      <c r="J47" s="24">
        <v>4699.4750000000004</v>
      </c>
      <c r="K47" s="24">
        <v>3000</v>
      </c>
      <c r="L47" s="24"/>
      <c r="M47" s="24"/>
      <c r="N47" s="24"/>
      <c r="O47" s="24"/>
      <c r="P47" s="24"/>
      <c r="Q47" s="24"/>
      <c r="R47" s="24">
        <v>50</v>
      </c>
      <c r="S47" s="21">
        <f>S46/2</f>
        <v>2444.75</v>
      </c>
      <c r="V47" s="21">
        <f>W44*100</f>
        <v>941.6</v>
      </c>
    </row>
    <row r="48" spans="1:24" ht="15.75" customHeight="1" x14ac:dyDescent="0.25">
      <c r="D48" s="22"/>
      <c r="E48" s="22"/>
      <c r="G48" s="21">
        <f t="shared" si="9"/>
        <v>0</v>
      </c>
      <c r="H48" s="22"/>
      <c r="I48" s="24"/>
      <c r="J48" s="24"/>
      <c r="K48" s="24"/>
      <c r="L48" s="24"/>
      <c r="M48" s="24"/>
      <c r="N48" s="24"/>
      <c r="O48" s="24"/>
      <c r="P48" s="24"/>
      <c r="Q48" s="24"/>
      <c r="R48" s="24"/>
      <c r="V48" s="21">
        <f>W45*250</f>
        <v>3757.875</v>
      </c>
    </row>
    <row r="49" spans="3:22" ht="15.75" customHeight="1" x14ac:dyDescent="0.25">
      <c r="D49" s="22"/>
      <c r="E49" s="22"/>
      <c r="G49" s="21">
        <f t="shared" si="9"/>
        <v>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V49" s="21">
        <f>V48+V47</f>
        <v>4699.4750000000004</v>
      </c>
    </row>
    <row r="50" spans="3:22" ht="15.75" customHeight="1" x14ac:dyDescent="0.25">
      <c r="D50" s="22"/>
      <c r="E50" s="22"/>
      <c r="G50" s="21">
        <f t="shared" si="9"/>
        <v>0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2" spans="3:22" ht="15.75" customHeight="1" x14ac:dyDescent="0.25">
      <c r="P52" s="21"/>
      <c r="Q52" s="21"/>
      <c r="R52" s="21" t="s">
        <v>141</v>
      </c>
    </row>
    <row r="53" spans="3:22" ht="15.75" customHeight="1" x14ac:dyDescent="0.25">
      <c r="J53" s="22"/>
    </row>
    <row r="57" spans="3:22" ht="15.75" customHeight="1" x14ac:dyDescent="0.25">
      <c r="C57" s="26"/>
    </row>
  </sheetData>
  <conditionalFormatting sqref="N2:N40">
    <cfRule type="cellIs" dxfId="3" priority="1" operator="greaterThan">
      <formula>60</formula>
    </cfRule>
    <cfRule type="cellIs" dxfId="2" priority="2" operator="greaterThan">
      <formula>45</formula>
    </cfRule>
  </conditionalFormatting>
  <dataValidations count="1">
    <dataValidation type="list" allowBlank="1" showErrorMessage="1" sqref="B2:B40" xr:uid="{00000000-0002-0000-09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X57"/>
  <sheetViews>
    <sheetView workbookViewId="0">
      <pane xSplit="3" topLeftCell="I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0" max="10" width="13.1796875" bestFit="1" customWidth="1"/>
    <col min="11" max="11" width="13" customWidth="1"/>
    <col min="13" max="13" width="13.1796875" bestFit="1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 t="s">
        <v>129</v>
      </c>
      <c r="B2" s="2" t="s">
        <v>29</v>
      </c>
      <c r="C2" s="3" t="s">
        <v>130</v>
      </c>
      <c r="D2" s="18" t="str">
        <f t="shared" ref="D2:D38" si="0">IF(E2="","-",(TEXT(E2,"MMM")))</f>
        <v>ago</v>
      </c>
      <c r="E2" s="5">
        <v>45889</v>
      </c>
      <c r="F2" s="6">
        <v>45909</v>
      </c>
      <c r="G2" s="7">
        <v>20</v>
      </c>
      <c r="H2" s="7">
        <v>2422</v>
      </c>
      <c r="I2" s="7">
        <v>169</v>
      </c>
      <c r="J2" s="19">
        <f>51982.33-9990.52-16669.29-21216.27</f>
        <v>4106.2499999999964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18074.854488888883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17258.289450980392</v>
      </c>
      <c r="M2" s="8">
        <f t="shared" ref="M2:M38" si="1">J2+K2+L2</f>
        <v>39439.393939869275</v>
      </c>
      <c r="N2" s="9">
        <f t="shared" ref="N2:N38" si="2">IF(H2&gt;0,M2/H2,"N/A")</f>
        <v>16.28381252678335</v>
      </c>
      <c r="O2" s="10"/>
      <c r="P2" s="3"/>
      <c r="Q2" s="3"/>
      <c r="R2" s="3"/>
      <c r="S2" s="8">
        <f t="shared" ref="S2:S38" si="3">IF(N2="N/A",0,(O2+P2+Q2+R2)*N2)</f>
        <v>0</v>
      </c>
      <c r="T2" s="7">
        <f t="shared" ref="T2:T38" si="4">IF(I2=0,H2-O2-P2-Q2-R2,I2-O2-P2-Q2-R2)</f>
        <v>169</v>
      </c>
      <c r="U2" s="3"/>
      <c r="V2" s="8">
        <f t="shared" ref="V2:V38" si="5">IF(N2="N/A",0,((T2-U2)*N2)-W2)</f>
        <v>2751.9643170263862</v>
      </c>
      <c r="W2" s="8"/>
      <c r="X2" s="11">
        <f t="shared" ref="X2:X38" si="6">IF(N2="N/A",0,U2*N2)</f>
        <v>0</v>
      </c>
    </row>
    <row r="3" spans="1:24" ht="15.5" x14ac:dyDescent="0.35">
      <c r="A3" s="1" t="s">
        <v>137</v>
      </c>
      <c r="B3" s="2" t="s">
        <v>29</v>
      </c>
      <c r="C3" s="3" t="s">
        <v>138</v>
      </c>
      <c r="D3" s="18" t="str">
        <f t="shared" si="0"/>
        <v>sep</v>
      </c>
      <c r="E3" s="5">
        <v>45919</v>
      </c>
      <c r="F3" s="6">
        <v>45940</v>
      </c>
      <c r="G3" s="7">
        <v>40</v>
      </c>
      <c r="H3" s="7">
        <v>4528</v>
      </c>
      <c r="I3" s="7">
        <v>289</v>
      </c>
      <c r="J3" s="19">
        <f>115767.66-2586.21-10597</f>
        <v>102584.45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50803.014871794876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44176.944444444445</v>
      </c>
      <c r="M3" s="8">
        <f t="shared" si="1"/>
        <v>197564.4093162393</v>
      </c>
      <c r="N3" s="9">
        <f t="shared" si="2"/>
        <v>43.631715838392068</v>
      </c>
      <c r="O3" s="10"/>
      <c r="P3" s="3"/>
      <c r="Q3" s="3"/>
      <c r="R3" s="3"/>
      <c r="S3" s="8">
        <f t="shared" si="3"/>
        <v>0</v>
      </c>
      <c r="T3" s="7">
        <f t="shared" si="4"/>
        <v>289</v>
      </c>
      <c r="U3" s="3"/>
      <c r="V3" s="8">
        <f t="shared" si="5"/>
        <v>12609.565877295308</v>
      </c>
      <c r="W3" s="8"/>
      <c r="X3" s="11">
        <f t="shared" si="6"/>
        <v>0</v>
      </c>
    </row>
    <row r="4" spans="1:24" ht="15.5" x14ac:dyDescent="0.35">
      <c r="A4" s="1">
        <v>1108</v>
      </c>
      <c r="B4" s="2" t="s">
        <v>23</v>
      </c>
      <c r="C4" s="3" t="s">
        <v>59</v>
      </c>
      <c r="D4" s="18" t="str">
        <f t="shared" si="0"/>
        <v>sep</v>
      </c>
      <c r="E4" s="5">
        <v>45926</v>
      </c>
      <c r="F4" s="6">
        <v>45954</v>
      </c>
      <c r="G4" s="7">
        <v>8</v>
      </c>
      <c r="H4" s="7">
        <v>900</v>
      </c>
      <c r="I4" s="7">
        <v>784</v>
      </c>
      <c r="J4" s="8">
        <v>14122.53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16975.946001386004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7010.7959159159154</v>
      </c>
      <c r="M4" s="8">
        <f t="shared" si="1"/>
        <v>38109.271917301921</v>
      </c>
      <c r="N4" s="9">
        <f t="shared" si="2"/>
        <v>42.343635463668804</v>
      </c>
      <c r="O4" s="10"/>
      <c r="P4" s="3"/>
      <c r="Q4" s="3"/>
      <c r="R4" s="3"/>
      <c r="S4" s="8">
        <f t="shared" si="3"/>
        <v>0</v>
      </c>
      <c r="T4" s="7">
        <f t="shared" si="4"/>
        <v>784</v>
      </c>
      <c r="U4" s="3"/>
      <c r="V4" s="8">
        <f t="shared" si="5"/>
        <v>33197.410203516345</v>
      </c>
      <c r="W4" s="8"/>
      <c r="X4" s="11">
        <f t="shared" si="6"/>
        <v>0</v>
      </c>
    </row>
    <row r="5" spans="1:24" ht="15.5" x14ac:dyDescent="0.35">
      <c r="A5" s="1">
        <v>1109</v>
      </c>
      <c r="B5" s="2" t="s">
        <v>23</v>
      </c>
      <c r="C5" s="3" t="s">
        <v>139</v>
      </c>
      <c r="D5" s="18" t="str">
        <f t="shared" si="0"/>
        <v>sep</v>
      </c>
      <c r="E5" s="5">
        <v>45930</v>
      </c>
      <c r="F5" s="6">
        <v>45951</v>
      </c>
      <c r="G5" s="7">
        <v>3</v>
      </c>
      <c r="H5" s="7">
        <v>360</v>
      </c>
      <c r="I5" s="7">
        <v>120</v>
      </c>
      <c r="J5" s="17">
        <f>9651.46+200</f>
        <v>9851.4599999999991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6365.9797505197512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2629.0484684684684</v>
      </c>
      <c r="M5" s="8">
        <f t="shared" si="1"/>
        <v>18846.488218988219</v>
      </c>
      <c r="N5" s="9">
        <f t="shared" si="2"/>
        <v>52.351356163856167</v>
      </c>
      <c r="O5" s="10"/>
      <c r="P5" s="3"/>
      <c r="Q5" s="3"/>
      <c r="R5" s="3"/>
      <c r="S5" s="8">
        <f t="shared" si="3"/>
        <v>0</v>
      </c>
      <c r="T5" s="7">
        <f t="shared" si="4"/>
        <v>120</v>
      </c>
      <c r="U5" s="3"/>
      <c r="V5" s="8">
        <f t="shared" si="5"/>
        <v>6282.16273966274</v>
      </c>
      <c r="W5" s="8"/>
      <c r="X5" s="11">
        <f t="shared" si="6"/>
        <v>0</v>
      </c>
    </row>
    <row r="6" spans="1:24" ht="15.5" x14ac:dyDescent="0.35">
      <c r="A6" s="1" t="s">
        <v>142</v>
      </c>
      <c r="B6" s="2" t="s">
        <v>29</v>
      </c>
      <c r="C6" s="3" t="s">
        <v>39</v>
      </c>
      <c r="D6" s="18" t="str">
        <f t="shared" si="0"/>
        <v>oct</v>
      </c>
      <c r="E6" s="5">
        <v>45931</v>
      </c>
      <c r="F6" s="6">
        <v>45945</v>
      </c>
      <c r="G6" s="7">
        <v>20</v>
      </c>
      <c r="H6" s="7">
        <v>2385</v>
      </c>
      <c r="I6" s="7">
        <v>421</v>
      </c>
      <c r="J6" s="8">
        <v>15939.49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17533.185031605353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11256.014689440995</v>
      </c>
      <c r="M6" s="8">
        <f t="shared" si="1"/>
        <v>44728.68972104635</v>
      </c>
      <c r="N6" s="9">
        <f t="shared" si="2"/>
        <v>18.754167597922997</v>
      </c>
      <c r="O6" s="10"/>
      <c r="P6" s="3"/>
      <c r="Q6" s="3"/>
      <c r="R6" s="3"/>
      <c r="S6" s="8">
        <f t="shared" si="3"/>
        <v>0</v>
      </c>
      <c r="T6" s="7">
        <f t="shared" si="4"/>
        <v>421</v>
      </c>
      <c r="U6" s="3"/>
      <c r="V6" s="8">
        <f t="shared" si="5"/>
        <v>7895.5045587255818</v>
      </c>
      <c r="W6" s="8"/>
      <c r="X6" s="11">
        <f t="shared" si="6"/>
        <v>0</v>
      </c>
    </row>
    <row r="7" spans="1:24" ht="15.5" x14ac:dyDescent="0.35">
      <c r="A7" s="1">
        <v>1110</v>
      </c>
      <c r="B7" s="2" t="s">
        <v>23</v>
      </c>
      <c r="C7" s="3" t="s">
        <v>24</v>
      </c>
      <c r="D7" s="18" t="str">
        <f t="shared" si="0"/>
        <v>oct</v>
      </c>
      <c r="E7" s="5">
        <v>45933</v>
      </c>
      <c r="F7" s="6">
        <v>45944</v>
      </c>
      <c r="G7" s="7">
        <v>8</v>
      </c>
      <c r="H7" s="7">
        <v>890</v>
      </c>
      <c r="I7" s="7">
        <v>302</v>
      </c>
      <c r="J7" s="17">
        <f>11575.34+7989.5</f>
        <v>19564.84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12033.422650684101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5545.5540316205534</v>
      </c>
      <c r="M7" s="8">
        <f t="shared" si="1"/>
        <v>37143.816682304656</v>
      </c>
      <c r="N7" s="9">
        <f t="shared" si="2"/>
        <v>41.73462548573557</v>
      </c>
      <c r="O7" s="10"/>
      <c r="P7" s="3"/>
      <c r="Q7" s="3"/>
      <c r="R7" s="3"/>
      <c r="S7" s="8">
        <f t="shared" si="3"/>
        <v>0</v>
      </c>
      <c r="T7" s="7">
        <f t="shared" si="4"/>
        <v>302</v>
      </c>
      <c r="U7" s="3"/>
      <c r="V7" s="8">
        <f t="shared" si="5"/>
        <v>12603.856896692143</v>
      </c>
      <c r="W7" s="8"/>
      <c r="X7" s="11">
        <f t="shared" si="6"/>
        <v>0</v>
      </c>
    </row>
    <row r="8" spans="1:24" ht="15.5" x14ac:dyDescent="0.35">
      <c r="A8" s="1" t="s">
        <v>143</v>
      </c>
      <c r="B8" s="2" t="s">
        <v>29</v>
      </c>
      <c r="C8" s="3" t="s">
        <v>41</v>
      </c>
      <c r="D8" s="18" t="str">
        <f t="shared" si="0"/>
        <v>oct</v>
      </c>
      <c r="E8" s="5">
        <v>45938</v>
      </c>
      <c r="F8" s="6">
        <v>45958</v>
      </c>
      <c r="G8" s="7">
        <v>20</v>
      </c>
      <c r="H8" s="7">
        <v>2330</v>
      </c>
      <c r="I8" s="7">
        <v>1990</v>
      </c>
      <c r="J8" s="8">
        <v>42174.34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17533.185031605353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11256.014689440995</v>
      </c>
      <c r="M8" s="8">
        <f t="shared" si="1"/>
        <v>70963.539721046342</v>
      </c>
      <c r="N8" s="9">
        <f t="shared" si="2"/>
        <v>30.456454815899718</v>
      </c>
      <c r="O8" s="10"/>
      <c r="P8" s="3"/>
      <c r="Q8" s="3"/>
      <c r="R8" s="3"/>
      <c r="S8" s="8">
        <f t="shared" si="3"/>
        <v>0</v>
      </c>
      <c r="T8" s="7">
        <f t="shared" si="4"/>
        <v>1990</v>
      </c>
      <c r="U8" s="3"/>
      <c r="V8" s="8">
        <f t="shared" si="5"/>
        <v>60608.345083640437</v>
      </c>
      <c r="W8" s="8"/>
      <c r="X8" s="11">
        <f t="shared" si="6"/>
        <v>0</v>
      </c>
    </row>
    <row r="9" spans="1:24" ht="15.5" x14ac:dyDescent="0.35">
      <c r="A9" s="1">
        <v>1111</v>
      </c>
      <c r="B9" s="2" t="s">
        <v>23</v>
      </c>
      <c r="C9" s="3" t="s">
        <v>49</v>
      </c>
      <c r="D9" s="18" t="str">
        <f t="shared" si="0"/>
        <v>oct</v>
      </c>
      <c r="E9" s="5">
        <v>45937</v>
      </c>
      <c r="F9" s="6">
        <v>45957</v>
      </c>
      <c r="G9" s="7">
        <v>3</v>
      </c>
      <c r="H9" s="7">
        <v>360</v>
      </c>
      <c r="I9" s="7">
        <v>280</v>
      </c>
      <c r="J9" s="8">
        <v>10094.950000000001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4512.5334940065377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2079.5827618577077</v>
      </c>
      <c r="M9" s="8">
        <f t="shared" si="1"/>
        <v>16687.066255864243</v>
      </c>
      <c r="N9" s="9">
        <f t="shared" si="2"/>
        <v>46.35296182184512</v>
      </c>
      <c r="O9" s="10"/>
      <c r="P9" s="3"/>
      <c r="Q9" s="3"/>
      <c r="R9" s="3"/>
      <c r="S9" s="8">
        <f t="shared" si="3"/>
        <v>0</v>
      </c>
      <c r="T9" s="7">
        <f t="shared" si="4"/>
        <v>280</v>
      </c>
      <c r="U9" s="3"/>
      <c r="V9" s="8">
        <f t="shared" si="5"/>
        <v>12978.829310116635</v>
      </c>
      <c r="W9" s="8"/>
      <c r="X9" s="11">
        <f t="shared" si="6"/>
        <v>0</v>
      </c>
    </row>
    <row r="10" spans="1:24" ht="15.5" x14ac:dyDescent="0.35">
      <c r="A10" s="1">
        <v>1112</v>
      </c>
      <c r="B10" s="2" t="s">
        <v>23</v>
      </c>
      <c r="C10" s="3" t="s">
        <v>144</v>
      </c>
      <c r="D10" s="18" t="str">
        <f t="shared" si="0"/>
        <v>oct</v>
      </c>
      <c r="E10" s="5">
        <v>45939</v>
      </c>
      <c r="F10" s="6">
        <v>45971</v>
      </c>
      <c r="G10" s="7">
        <v>4</v>
      </c>
      <c r="H10" s="7">
        <v>435</v>
      </c>
      <c r="I10" s="7">
        <v>435</v>
      </c>
      <c r="J10" s="8">
        <v>7646.86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6016.7113253420503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2772.7770158102767</v>
      </c>
      <c r="M10" s="8">
        <f t="shared" si="1"/>
        <v>16436.348341152327</v>
      </c>
      <c r="N10" s="9">
        <f t="shared" si="2"/>
        <v>37.784708830235232</v>
      </c>
      <c r="O10" s="10"/>
      <c r="P10" s="3"/>
      <c r="Q10" s="3"/>
      <c r="R10" s="3"/>
      <c r="S10" s="8">
        <f t="shared" si="3"/>
        <v>0</v>
      </c>
      <c r="T10" s="7">
        <f t="shared" si="4"/>
        <v>435</v>
      </c>
      <c r="U10" s="3"/>
      <c r="V10" s="8">
        <f t="shared" si="5"/>
        <v>16436.348341152327</v>
      </c>
      <c r="W10" s="8"/>
      <c r="X10" s="11">
        <f t="shared" si="6"/>
        <v>0</v>
      </c>
    </row>
    <row r="11" spans="1:24" ht="15.5" x14ac:dyDescent="0.35">
      <c r="A11" s="1">
        <v>1113</v>
      </c>
      <c r="B11" s="2" t="s">
        <v>23</v>
      </c>
      <c r="C11" s="3" t="s">
        <v>145</v>
      </c>
      <c r="D11" s="18" t="str">
        <f t="shared" si="0"/>
        <v>oct</v>
      </c>
      <c r="E11" s="5">
        <v>45940</v>
      </c>
      <c r="F11" s="6">
        <v>45964</v>
      </c>
      <c r="G11" s="7">
        <v>3</v>
      </c>
      <c r="H11" s="7">
        <v>322</v>
      </c>
      <c r="I11" s="7">
        <v>322</v>
      </c>
      <c r="J11" s="8">
        <v>6581.49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4512.5334940065377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2079.5827618577077</v>
      </c>
      <c r="M11" s="8">
        <f t="shared" si="1"/>
        <v>13173.606255864246</v>
      </c>
      <c r="N11" s="9">
        <f t="shared" si="2"/>
        <v>40.911820670385858</v>
      </c>
      <c r="O11" s="10"/>
      <c r="P11" s="3"/>
      <c r="Q11" s="3"/>
      <c r="R11" s="3"/>
      <c r="S11" s="8">
        <f t="shared" si="3"/>
        <v>0</v>
      </c>
      <c r="T11" s="7">
        <f t="shared" si="4"/>
        <v>322</v>
      </c>
      <c r="U11" s="3"/>
      <c r="V11" s="8">
        <f t="shared" si="5"/>
        <v>13173.606255864246</v>
      </c>
      <c r="W11" s="8"/>
      <c r="X11" s="11">
        <f t="shared" si="6"/>
        <v>0</v>
      </c>
    </row>
    <row r="12" spans="1:24" ht="15.5" x14ac:dyDescent="0.35">
      <c r="A12" s="1">
        <v>1114</v>
      </c>
      <c r="B12" s="2" t="s">
        <v>23</v>
      </c>
      <c r="C12" s="3" t="s">
        <v>83</v>
      </c>
      <c r="D12" s="18" t="str">
        <f t="shared" si="0"/>
        <v>oct</v>
      </c>
      <c r="E12" s="5">
        <v>45944</v>
      </c>
      <c r="F12" s="6">
        <v>45979</v>
      </c>
      <c r="G12" s="7">
        <v>4</v>
      </c>
      <c r="H12" s="7">
        <v>462</v>
      </c>
      <c r="I12" s="7">
        <v>462</v>
      </c>
      <c r="J12" s="8">
        <v>8010.73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6016.7113253420503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2772.7770158102767</v>
      </c>
      <c r="M12" s="8">
        <f t="shared" si="1"/>
        <v>16800.218341152326</v>
      </c>
      <c r="N12" s="9">
        <f t="shared" si="2"/>
        <v>36.36410896353317</v>
      </c>
      <c r="O12" s="10"/>
      <c r="P12" s="3"/>
      <c r="Q12" s="3"/>
      <c r="R12" s="3"/>
      <c r="S12" s="8">
        <f t="shared" si="3"/>
        <v>0</v>
      </c>
      <c r="T12" s="7">
        <f t="shared" si="4"/>
        <v>462</v>
      </c>
      <c r="U12" s="3"/>
      <c r="V12" s="8">
        <f t="shared" si="5"/>
        <v>16800.218341152326</v>
      </c>
      <c r="W12" s="8"/>
      <c r="X12" s="11">
        <f t="shared" si="6"/>
        <v>0</v>
      </c>
    </row>
    <row r="13" spans="1:24" ht="15.5" x14ac:dyDescent="0.35">
      <c r="A13" s="1">
        <v>1115</v>
      </c>
      <c r="B13" s="2" t="s">
        <v>23</v>
      </c>
      <c r="C13" s="3" t="s">
        <v>35</v>
      </c>
      <c r="D13" s="18" t="str">
        <f t="shared" si="0"/>
        <v>oct</v>
      </c>
      <c r="E13" s="5">
        <v>45945</v>
      </c>
      <c r="F13" s="6">
        <v>45958</v>
      </c>
      <c r="G13" s="7">
        <v>8</v>
      </c>
      <c r="H13" s="7">
        <v>902</v>
      </c>
      <c r="I13" s="7">
        <v>842</v>
      </c>
      <c r="J13" s="8">
        <v>14022.16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12033.422650684101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5545.5540316205534</v>
      </c>
      <c r="M13" s="8">
        <f t="shared" si="1"/>
        <v>31601.136682304656</v>
      </c>
      <c r="N13" s="9">
        <f t="shared" si="2"/>
        <v>35.034519603441971</v>
      </c>
      <c r="O13" s="10"/>
      <c r="P13" s="3"/>
      <c r="Q13" s="3"/>
      <c r="R13" s="3"/>
      <c r="S13" s="8">
        <f t="shared" si="3"/>
        <v>0</v>
      </c>
      <c r="T13" s="7">
        <f t="shared" si="4"/>
        <v>842</v>
      </c>
      <c r="U13" s="3"/>
      <c r="V13" s="8">
        <f t="shared" si="5"/>
        <v>29499.065506098141</v>
      </c>
      <c r="W13" s="8"/>
      <c r="X13" s="11">
        <f t="shared" si="6"/>
        <v>0</v>
      </c>
    </row>
    <row r="14" spans="1:24" ht="15.5" x14ac:dyDescent="0.35">
      <c r="A14" s="1" t="s">
        <v>146</v>
      </c>
      <c r="B14" s="2" t="s">
        <v>29</v>
      </c>
      <c r="C14" s="3" t="s">
        <v>34</v>
      </c>
      <c r="D14" s="18" t="str">
        <f t="shared" si="0"/>
        <v>oct</v>
      </c>
      <c r="E14" s="5">
        <v>45947</v>
      </c>
      <c r="F14" s="6">
        <v>45965</v>
      </c>
      <c r="G14" s="7">
        <v>40</v>
      </c>
      <c r="H14" s="7">
        <v>4560</v>
      </c>
      <c r="I14" s="7">
        <v>4560</v>
      </c>
      <c r="J14" s="8">
        <v>90056.05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35066.370063210707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22512.029378881991</v>
      </c>
      <c r="M14" s="8">
        <f t="shared" si="1"/>
        <v>147634.44944209271</v>
      </c>
      <c r="N14" s="9">
        <f t="shared" si="2"/>
        <v>32.375975754844895</v>
      </c>
      <c r="O14" s="10"/>
      <c r="P14" s="3"/>
      <c r="Q14" s="3"/>
      <c r="R14" s="3"/>
      <c r="S14" s="8">
        <f t="shared" si="3"/>
        <v>0</v>
      </c>
      <c r="T14" s="7">
        <f t="shared" si="4"/>
        <v>4560</v>
      </c>
      <c r="U14" s="3"/>
      <c r="V14" s="8">
        <f t="shared" si="5"/>
        <v>147634.44944209271</v>
      </c>
      <c r="W14" s="8"/>
      <c r="X14" s="11">
        <f t="shared" si="6"/>
        <v>0</v>
      </c>
    </row>
    <row r="15" spans="1:24" ht="15.5" x14ac:dyDescent="0.35">
      <c r="A15" s="1">
        <v>1116</v>
      </c>
      <c r="B15" s="2" t="s">
        <v>23</v>
      </c>
      <c r="C15" s="3" t="s">
        <v>40</v>
      </c>
      <c r="D15" s="18" t="str">
        <f t="shared" si="0"/>
        <v>oct</v>
      </c>
      <c r="E15" s="5">
        <v>45953</v>
      </c>
      <c r="F15" s="6">
        <v>45973</v>
      </c>
      <c r="G15" s="7">
        <v>3</v>
      </c>
      <c r="H15" s="7">
        <v>360</v>
      </c>
      <c r="I15" s="7">
        <v>360</v>
      </c>
      <c r="J15" s="8">
        <v>10372.879999999999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4512.5334940065377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2079.5827618577077</v>
      </c>
      <c r="M15" s="8">
        <f t="shared" si="1"/>
        <v>16964.996255864244</v>
      </c>
      <c r="N15" s="9">
        <f t="shared" si="2"/>
        <v>47.1249895996229</v>
      </c>
      <c r="O15" s="10"/>
      <c r="P15" s="3"/>
      <c r="Q15" s="3"/>
      <c r="R15" s="3"/>
      <c r="S15" s="8">
        <f t="shared" si="3"/>
        <v>0</v>
      </c>
      <c r="T15" s="7">
        <f t="shared" si="4"/>
        <v>360</v>
      </c>
      <c r="U15" s="3"/>
      <c r="V15" s="8">
        <f t="shared" si="5"/>
        <v>16964.996255864244</v>
      </c>
      <c r="W15" s="8"/>
      <c r="X15" s="11">
        <f t="shared" si="6"/>
        <v>0</v>
      </c>
    </row>
    <row r="16" spans="1:24" ht="15.5" x14ac:dyDescent="0.35">
      <c r="A16" s="1" t="s">
        <v>147</v>
      </c>
      <c r="B16" s="2" t="s">
        <v>29</v>
      </c>
      <c r="C16" s="3" t="s">
        <v>47</v>
      </c>
      <c r="D16" s="18" t="str">
        <f t="shared" si="0"/>
        <v>oct</v>
      </c>
      <c r="E16" s="5">
        <v>45953</v>
      </c>
      <c r="F16" s="6">
        <v>45966</v>
      </c>
      <c r="G16" s="7">
        <v>20</v>
      </c>
      <c r="H16" s="7">
        <v>2370</v>
      </c>
      <c r="I16" s="7">
        <v>2370</v>
      </c>
      <c r="J16" s="8">
        <v>29172.94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17533.185031605353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11256.014689440995</v>
      </c>
      <c r="M16" s="8">
        <f t="shared" si="1"/>
        <v>57962.139721046347</v>
      </c>
      <c r="N16" s="9">
        <f t="shared" si="2"/>
        <v>24.456599038416179</v>
      </c>
      <c r="O16" s="10"/>
      <c r="P16" s="3"/>
      <c r="Q16" s="3"/>
      <c r="R16" s="3"/>
      <c r="S16" s="8">
        <f t="shared" si="3"/>
        <v>0</v>
      </c>
      <c r="T16" s="7">
        <f t="shared" si="4"/>
        <v>2370</v>
      </c>
      <c r="U16" s="3"/>
      <c r="V16" s="8">
        <f t="shared" si="5"/>
        <v>57962.139721046347</v>
      </c>
      <c r="W16" s="8"/>
      <c r="X16" s="11">
        <f t="shared" si="6"/>
        <v>0</v>
      </c>
    </row>
    <row r="17" spans="1:24" ht="15.5" x14ac:dyDescent="0.35">
      <c r="A17" s="1">
        <v>1117</v>
      </c>
      <c r="B17" s="2" t="s">
        <v>23</v>
      </c>
      <c r="C17" s="3" t="s">
        <v>24</v>
      </c>
      <c r="D17" s="18" t="str">
        <f t="shared" si="0"/>
        <v>oct</v>
      </c>
      <c r="E17" s="5">
        <v>45958</v>
      </c>
      <c r="F17" s="6">
        <v>45972</v>
      </c>
      <c r="G17" s="7">
        <v>8</v>
      </c>
      <c r="H17" s="7">
        <v>855</v>
      </c>
      <c r="I17" s="7">
        <v>855</v>
      </c>
      <c r="J17" s="17">
        <f>11682.26+7999.475</f>
        <v>19681.735000000001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12033.422650684101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5545.5540316205534</v>
      </c>
      <c r="M17" s="8">
        <f t="shared" si="1"/>
        <v>37260.711682304653</v>
      </c>
      <c r="N17" s="9">
        <f t="shared" si="2"/>
        <v>43.579779745385558</v>
      </c>
      <c r="O17" s="10"/>
      <c r="P17" s="3"/>
      <c r="Q17" s="3"/>
      <c r="R17" s="3"/>
      <c r="S17" s="8">
        <f t="shared" si="3"/>
        <v>0</v>
      </c>
      <c r="T17" s="7">
        <f t="shared" si="4"/>
        <v>855</v>
      </c>
      <c r="U17" s="3"/>
      <c r="V17" s="8">
        <f t="shared" si="5"/>
        <v>37260.711682304653</v>
      </c>
      <c r="W17" s="8"/>
      <c r="X17" s="11">
        <f t="shared" si="6"/>
        <v>0</v>
      </c>
    </row>
    <row r="18" spans="1:24" ht="15.5" x14ac:dyDescent="0.35">
      <c r="A18" s="1">
        <v>1118</v>
      </c>
      <c r="B18" s="2" t="s">
        <v>23</v>
      </c>
      <c r="C18" s="3" t="s">
        <v>148</v>
      </c>
      <c r="D18" s="18" t="str">
        <f t="shared" si="0"/>
        <v>oct</v>
      </c>
      <c r="E18" s="5">
        <v>45960</v>
      </c>
      <c r="F18" s="6">
        <v>45981</v>
      </c>
      <c r="G18" s="7">
        <v>3</v>
      </c>
      <c r="H18" s="7">
        <v>360</v>
      </c>
      <c r="I18" s="7">
        <v>360</v>
      </c>
      <c r="J18" s="8">
        <v>7285.09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4512.5334940065377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2079.5827618577077</v>
      </c>
      <c r="M18" s="8">
        <f t="shared" si="1"/>
        <v>13877.206255864245</v>
      </c>
      <c r="N18" s="9">
        <f t="shared" si="2"/>
        <v>38.547795155178456</v>
      </c>
      <c r="O18" s="10"/>
      <c r="P18" s="3"/>
      <c r="Q18" s="3"/>
      <c r="R18" s="3"/>
      <c r="S18" s="8">
        <f t="shared" si="3"/>
        <v>0</v>
      </c>
      <c r="T18" s="7">
        <f t="shared" si="4"/>
        <v>360</v>
      </c>
      <c r="U18" s="3"/>
      <c r="V18" s="8">
        <f t="shared" si="5"/>
        <v>13877.206255864245</v>
      </c>
      <c r="W18" s="8"/>
      <c r="X18" s="11">
        <f t="shared" si="6"/>
        <v>0</v>
      </c>
    </row>
    <row r="19" spans="1:24" ht="15.5" x14ac:dyDescent="0.35">
      <c r="A19" s="1" t="s">
        <v>149</v>
      </c>
      <c r="B19" s="2" t="s">
        <v>29</v>
      </c>
      <c r="C19" s="3" t="s">
        <v>39</v>
      </c>
      <c r="D19" s="18" t="str">
        <f t="shared" si="0"/>
        <v>oct</v>
      </c>
      <c r="E19" s="5">
        <v>45961</v>
      </c>
      <c r="F19" s="6">
        <v>45973</v>
      </c>
      <c r="G19" s="7">
        <v>40</v>
      </c>
      <c r="H19" s="7">
        <v>4940</v>
      </c>
      <c r="I19" s="7">
        <v>4940</v>
      </c>
      <c r="J19" s="8">
        <v>28526.27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35066.370063210707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22512.029378881991</v>
      </c>
      <c r="M19" s="8">
        <f t="shared" si="1"/>
        <v>86104.669442092709</v>
      </c>
      <c r="N19" s="9">
        <f t="shared" si="2"/>
        <v>17.430095028763706</v>
      </c>
      <c r="O19" s="10"/>
      <c r="P19" s="3"/>
      <c r="Q19" s="3"/>
      <c r="R19" s="3"/>
      <c r="S19" s="8">
        <f t="shared" si="3"/>
        <v>0</v>
      </c>
      <c r="T19" s="7">
        <f t="shared" si="4"/>
        <v>4940</v>
      </c>
      <c r="U19" s="3"/>
      <c r="V19" s="8">
        <f t="shared" si="5"/>
        <v>86104.669442092709</v>
      </c>
      <c r="W19" s="8"/>
      <c r="X19" s="11">
        <f t="shared" si="6"/>
        <v>0</v>
      </c>
    </row>
    <row r="20" spans="1:24" ht="15.5" x14ac:dyDescent="0.35">
      <c r="A20" s="1">
        <v>1119</v>
      </c>
      <c r="B20" s="2" t="s">
        <v>23</v>
      </c>
      <c r="C20" s="3" t="s">
        <v>36</v>
      </c>
      <c r="D20" s="18" t="str">
        <f t="shared" si="0"/>
        <v>nov</v>
      </c>
      <c r="E20" s="5">
        <v>45962</v>
      </c>
      <c r="F20" s="6">
        <v>45979</v>
      </c>
      <c r="G20" s="7">
        <v>8</v>
      </c>
      <c r="H20" s="7">
        <v>900</v>
      </c>
      <c r="I20" s="7"/>
      <c r="J20" s="8">
        <v>12614.86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0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0</v>
      </c>
      <c r="M20" s="8">
        <f t="shared" si="1"/>
        <v>12614.86</v>
      </c>
      <c r="N20" s="9">
        <f t="shared" si="2"/>
        <v>14.016511111111111</v>
      </c>
      <c r="O20" s="10"/>
      <c r="P20" s="3"/>
      <c r="Q20" s="3"/>
      <c r="R20" s="3"/>
      <c r="S20" s="8">
        <f t="shared" si="3"/>
        <v>0</v>
      </c>
      <c r="T20" s="7">
        <f t="shared" si="4"/>
        <v>900</v>
      </c>
      <c r="U20" s="3"/>
      <c r="V20" s="8">
        <f t="shared" si="5"/>
        <v>12614.86</v>
      </c>
      <c r="W20" s="8"/>
      <c r="X20" s="11">
        <f t="shared" si="6"/>
        <v>0</v>
      </c>
    </row>
    <row r="21" spans="1:24" ht="15.5" x14ac:dyDescent="0.35">
      <c r="A21" s="1">
        <v>1120</v>
      </c>
      <c r="B21" s="2" t="s">
        <v>23</v>
      </c>
      <c r="C21" s="3" t="s">
        <v>56</v>
      </c>
      <c r="D21" s="18" t="str">
        <f t="shared" si="0"/>
        <v>nov</v>
      </c>
      <c r="E21" s="5">
        <v>45966</v>
      </c>
      <c r="F21" s="6">
        <v>45987</v>
      </c>
      <c r="G21" s="7">
        <v>3</v>
      </c>
      <c r="H21" s="7">
        <v>334</v>
      </c>
      <c r="I21" s="7"/>
      <c r="J21" s="17">
        <v>9527.6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0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0</v>
      </c>
      <c r="M21" s="8">
        <f t="shared" si="1"/>
        <v>9527.6</v>
      </c>
      <c r="N21" s="9">
        <f t="shared" si="2"/>
        <v>28.525748502994013</v>
      </c>
      <c r="O21" s="10"/>
      <c r="P21" s="3"/>
      <c r="Q21" s="3"/>
      <c r="R21" s="3"/>
      <c r="S21" s="8">
        <f t="shared" si="3"/>
        <v>0</v>
      </c>
      <c r="T21" s="7">
        <f t="shared" si="4"/>
        <v>334</v>
      </c>
      <c r="U21" s="3"/>
      <c r="V21" s="8">
        <f t="shared" si="5"/>
        <v>9527.6</v>
      </c>
      <c r="W21" s="8"/>
      <c r="X21" s="11">
        <f t="shared" si="6"/>
        <v>0</v>
      </c>
    </row>
    <row r="22" spans="1:24" ht="15.5" x14ac:dyDescent="0.35">
      <c r="A22" s="1" t="s">
        <v>151</v>
      </c>
      <c r="B22" s="2" t="s">
        <v>29</v>
      </c>
      <c r="C22" s="3" t="s">
        <v>34</v>
      </c>
      <c r="D22" s="18" t="str">
        <f t="shared" si="0"/>
        <v>nov</v>
      </c>
      <c r="E22" s="5">
        <v>45968</v>
      </c>
      <c r="F22" s="7"/>
      <c r="G22" s="7">
        <v>40</v>
      </c>
      <c r="H22" s="7"/>
      <c r="I22" s="7"/>
      <c r="J22" s="8">
        <v>71271.95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0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0</v>
      </c>
      <c r="M22" s="8">
        <f t="shared" si="1"/>
        <v>71271.95</v>
      </c>
      <c r="N22" s="9" t="str">
        <f t="shared" si="2"/>
        <v>N/A</v>
      </c>
      <c r="O22" s="10"/>
      <c r="P22" s="3"/>
      <c r="Q22" s="3"/>
      <c r="R22" s="3"/>
      <c r="S22" s="8">
        <f t="shared" si="3"/>
        <v>0</v>
      </c>
      <c r="T22" s="7">
        <f t="shared" si="4"/>
        <v>0</v>
      </c>
      <c r="U22" s="3"/>
      <c r="V22" s="8">
        <f t="shared" si="5"/>
        <v>0</v>
      </c>
      <c r="W22" s="8"/>
      <c r="X22" s="11">
        <f t="shared" si="6"/>
        <v>0</v>
      </c>
    </row>
    <row r="23" spans="1:24" ht="15.5" x14ac:dyDescent="0.35">
      <c r="A23" s="1">
        <v>1121</v>
      </c>
      <c r="B23" s="2" t="s">
        <v>23</v>
      </c>
      <c r="C23" s="3" t="s">
        <v>57</v>
      </c>
      <c r="D23" s="18" t="str">
        <f t="shared" si="0"/>
        <v>nov</v>
      </c>
      <c r="E23" s="5">
        <v>45972</v>
      </c>
      <c r="F23" s="7"/>
      <c r="G23" s="7">
        <v>4</v>
      </c>
      <c r="H23" s="7"/>
      <c r="I23" s="7"/>
      <c r="J23" s="17">
        <v>7404.9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0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0</v>
      </c>
      <c r="M23" s="8">
        <f t="shared" si="1"/>
        <v>7404.9</v>
      </c>
      <c r="N23" s="9" t="str">
        <f t="shared" si="2"/>
        <v>N/A</v>
      </c>
      <c r="O23" s="10"/>
      <c r="P23" s="3"/>
      <c r="Q23" s="3"/>
      <c r="R23" s="3"/>
      <c r="S23" s="8">
        <f t="shared" si="3"/>
        <v>0</v>
      </c>
      <c r="T23" s="7">
        <f t="shared" si="4"/>
        <v>0</v>
      </c>
      <c r="U23" s="3"/>
      <c r="V23" s="8">
        <f t="shared" si="5"/>
        <v>0</v>
      </c>
      <c r="W23" s="8"/>
      <c r="X23" s="11">
        <f t="shared" si="6"/>
        <v>0</v>
      </c>
    </row>
    <row r="24" spans="1:24" ht="15.5" x14ac:dyDescent="0.35">
      <c r="A24" s="1">
        <v>1122</v>
      </c>
      <c r="B24" s="2" t="s">
        <v>23</v>
      </c>
      <c r="C24" s="3" t="s">
        <v>56</v>
      </c>
      <c r="D24" s="18" t="str">
        <f t="shared" si="0"/>
        <v>nov</v>
      </c>
      <c r="E24" s="5">
        <v>45974</v>
      </c>
      <c r="F24" s="7"/>
      <c r="G24" s="7">
        <v>6</v>
      </c>
      <c r="H24" s="7"/>
      <c r="I24" s="7"/>
      <c r="J24" s="17">
        <v>19476.68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0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0</v>
      </c>
      <c r="M24" s="8">
        <f t="shared" si="1"/>
        <v>19476.68</v>
      </c>
      <c r="N24" s="9" t="str">
        <f t="shared" si="2"/>
        <v>N/A</v>
      </c>
      <c r="O24" s="10"/>
      <c r="P24" s="3"/>
      <c r="Q24" s="3"/>
      <c r="R24" s="3"/>
      <c r="S24" s="8">
        <f t="shared" si="3"/>
        <v>0</v>
      </c>
      <c r="T24" s="7">
        <f t="shared" si="4"/>
        <v>0</v>
      </c>
      <c r="U24" s="3"/>
      <c r="V24" s="8">
        <f t="shared" si="5"/>
        <v>0</v>
      </c>
      <c r="W24" s="8"/>
      <c r="X24" s="11">
        <f t="shared" si="6"/>
        <v>0</v>
      </c>
    </row>
    <row r="25" spans="1:24" ht="15.5" x14ac:dyDescent="0.35">
      <c r="A25" s="1" t="s">
        <v>152</v>
      </c>
      <c r="B25" s="2" t="s">
        <v>29</v>
      </c>
      <c r="C25" s="3" t="s">
        <v>41</v>
      </c>
      <c r="D25" s="18" t="str">
        <f t="shared" si="0"/>
        <v>nov</v>
      </c>
      <c r="E25" s="5">
        <v>45974</v>
      </c>
      <c r="F25" s="7"/>
      <c r="G25" s="7">
        <v>20</v>
      </c>
      <c r="H25" s="7"/>
      <c r="I25" s="7"/>
      <c r="J25" s="8">
        <v>40055.919999999998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0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0</v>
      </c>
      <c r="M25" s="8">
        <f t="shared" si="1"/>
        <v>40055.919999999998</v>
      </c>
      <c r="N25" s="9" t="str">
        <f t="shared" si="2"/>
        <v>N/A</v>
      </c>
      <c r="O25" s="10"/>
      <c r="P25" s="3"/>
      <c r="Q25" s="3"/>
      <c r="R25" s="3"/>
      <c r="S25" s="8">
        <f t="shared" si="3"/>
        <v>0</v>
      </c>
      <c r="T25" s="7">
        <f t="shared" si="4"/>
        <v>0</v>
      </c>
      <c r="U25" s="3"/>
      <c r="V25" s="8">
        <f t="shared" si="5"/>
        <v>0</v>
      </c>
      <c r="W25" s="8"/>
      <c r="X25" s="11">
        <f t="shared" si="6"/>
        <v>0</v>
      </c>
    </row>
    <row r="26" spans="1:24" ht="15.5" x14ac:dyDescent="0.35">
      <c r="A26" s="29">
        <v>1123</v>
      </c>
      <c r="B26" s="30" t="s">
        <v>23</v>
      </c>
      <c r="C26" s="15" t="s">
        <v>31</v>
      </c>
      <c r="D26" s="31" t="str">
        <f t="shared" si="0"/>
        <v>nov</v>
      </c>
      <c r="E26" s="32">
        <v>45975</v>
      </c>
      <c r="F26" s="28"/>
      <c r="G26" s="28">
        <v>3</v>
      </c>
      <c r="H26" s="28"/>
      <c r="I26" s="28"/>
      <c r="J26" s="17">
        <v>6163.3</v>
      </c>
      <c r="K26" s="33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0</v>
      </c>
      <c r="L26" s="33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0</v>
      </c>
      <c r="M26" s="33">
        <f t="shared" si="1"/>
        <v>6163.3</v>
      </c>
      <c r="N26" s="34" t="str">
        <f t="shared" si="2"/>
        <v>N/A</v>
      </c>
      <c r="O26" s="35"/>
      <c r="P26" s="15"/>
      <c r="Q26" s="15"/>
      <c r="R26" s="15"/>
      <c r="S26" s="33">
        <f t="shared" si="3"/>
        <v>0</v>
      </c>
      <c r="T26" s="28">
        <f t="shared" si="4"/>
        <v>0</v>
      </c>
      <c r="U26" s="15"/>
      <c r="V26" s="33">
        <f t="shared" si="5"/>
        <v>0</v>
      </c>
      <c r="W26" s="33">
        <f>M26</f>
        <v>6163.3</v>
      </c>
      <c r="X26" s="36">
        <f t="shared" si="6"/>
        <v>0</v>
      </c>
    </row>
    <row r="27" spans="1:24" ht="15.5" x14ac:dyDescent="0.35">
      <c r="A27" s="1">
        <v>1124</v>
      </c>
      <c r="B27" s="2" t="s">
        <v>23</v>
      </c>
      <c r="C27" s="3" t="s">
        <v>26</v>
      </c>
      <c r="D27" s="18" t="str">
        <f t="shared" si="0"/>
        <v>nov</v>
      </c>
      <c r="E27" s="5">
        <v>45979</v>
      </c>
      <c r="F27" s="7"/>
      <c r="G27" s="7">
        <v>4</v>
      </c>
      <c r="H27" s="7"/>
      <c r="I27" s="7"/>
      <c r="J27" s="17">
        <v>9564.27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0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0</v>
      </c>
      <c r="M27" s="8">
        <f t="shared" si="1"/>
        <v>9564.27</v>
      </c>
      <c r="N27" s="9" t="str">
        <f t="shared" si="2"/>
        <v>N/A</v>
      </c>
      <c r="O27" s="10"/>
      <c r="P27" s="3"/>
      <c r="Q27" s="3"/>
      <c r="R27" s="3"/>
      <c r="S27" s="8">
        <f t="shared" si="3"/>
        <v>0</v>
      </c>
      <c r="T27" s="7">
        <f t="shared" si="4"/>
        <v>0</v>
      </c>
      <c r="U27" s="3"/>
      <c r="V27" s="8">
        <f t="shared" si="5"/>
        <v>0</v>
      </c>
      <c r="W27" s="8"/>
      <c r="X27" s="11">
        <f t="shared" si="6"/>
        <v>0</v>
      </c>
    </row>
    <row r="28" spans="1:24" ht="15.5" x14ac:dyDescent="0.35">
      <c r="A28" s="1">
        <v>1125</v>
      </c>
      <c r="B28" s="2" t="s">
        <v>23</v>
      </c>
      <c r="C28" s="3" t="s">
        <v>35</v>
      </c>
      <c r="D28" s="18" t="str">
        <f t="shared" si="0"/>
        <v>nov</v>
      </c>
      <c r="E28" s="5">
        <v>45981</v>
      </c>
      <c r="F28" s="7"/>
      <c r="G28" s="7">
        <v>8</v>
      </c>
      <c r="H28" s="7"/>
      <c r="I28" s="7"/>
      <c r="J28" s="8">
        <v>13239.71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0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0</v>
      </c>
      <c r="M28" s="8">
        <f t="shared" si="1"/>
        <v>13239.71</v>
      </c>
      <c r="N28" s="9" t="str">
        <f t="shared" si="2"/>
        <v>N/A</v>
      </c>
      <c r="O28" s="10"/>
      <c r="P28" s="3"/>
      <c r="Q28" s="3"/>
      <c r="R28" s="3"/>
      <c r="S28" s="8">
        <f t="shared" si="3"/>
        <v>0</v>
      </c>
      <c r="T28" s="7">
        <f t="shared" si="4"/>
        <v>0</v>
      </c>
      <c r="U28" s="3"/>
      <c r="V28" s="8">
        <f t="shared" si="5"/>
        <v>0</v>
      </c>
      <c r="W28" s="8"/>
      <c r="X28" s="11">
        <f t="shared" si="6"/>
        <v>0</v>
      </c>
    </row>
    <row r="29" spans="1:24" ht="15.5" x14ac:dyDescent="0.35">
      <c r="A29" s="1">
        <v>1126</v>
      </c>
      <c r="B29" s="2" t="s">
        <v>23</v>
      </c>
      <c r="C29" s="3" t="s">
        <v>87</v>
      </c>
      <c r="D29" s="18" t="str">
        <f t="shared" si="0"/>
        <v>nov</v>
      </c>
      <c r="E29" s="5">
        <v>45982</v>
      </c>
      <c r="F29" s="7"/>
      <c r="G29" s="7">
        <v>3</v>
      </c>
      <c r="H29" s="7"/>
      <c r="I29" s="7"/>
      <c r="J29" s="8">
        <v>7011.82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0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0</v>
      </c>
      <c r="M29" s="8">
        <f t="shared" si="1"/>
        <v>7011.82</v>
      </c>
      <c r="N29" s="9" t="str">
        <f t="shared" si="2"/>
        <v>N/A</v>
      </c>
      <c r="O29" s="10"/>
      <c r="P29" s="3"/>
      <c r="Q29" s="3"/>
      <c r="R29" s="3"/>
      <c r="S29" s="8">
        <f t="shared" si="3"/>
        <v>0</v>
      </c>
      <c r="T29" s="7">
        <f t="shared" si="4"/>
        <v>0</v>
      </c>
      <c r="U29" s="3"/>
      <c r="V29" s="8">
        <f t="shared" si="5"/>
        <v>0</v>
      </c>
      <c r="W29" s="8"/>
      <c r="X29" s="11">
        <f t="shared" si="6"/>
        <v>0</v>
      </c>
    </row>
    <row r="30" spans="1:24" ht="15.5" x14ac:dyDescent="0.35">
      <c r="A30" s="1">
        <v>1127</v>
      </c>
      <c r="B30" s="2" t="s">
        <v>23</v>
      </c>
      <c r="C30" s="3" t="s">
        <v>45</v>
      </c>
      <c r="D30" s="18" t="str">
        <f t="shared" si="0"/>
        <v>nov</v>
      </c>
      <c r="E30" s="5">
        <v>45986</v>
      </c>
      <c r="F30" s="7"/>
      <c r="G30" s="7">
        <v>3</v>
      </c>
      <c r="H30" s="7"/>
      <c r="I30" s="7"/>
      <c r="J30" s="17">
        <v>4473.8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0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0</v>
      </c>
      <c r="M30" s="8">
        <f t="shared" si="1"/>
        <v>4473.8</v>
      </c>
      <c r="N30" s="9" t="str">
        <f t="shared" si="2"/>
        <v>N/A</v>
      </c>
      <c r="O30" s="10"/>
      <c r="P30" s="3"/>
      <c r="Q30" s="3"/>
      <c r="R30" s="3"/>
      <c r="S30" s="8">
        <f t="shared" si="3"/>
        <v>0</v>
      </c>
      <c r="T30" s="7">
        <f t="shared" si="4"/>
        <v>0</v>
      </c>
      <c r="U30" s="3"/>
      <c r="V30" s="8">
        <f t="shared" si="5"/>
        <v>0</v>
      </c>
      <c r="W30" s="8"/>
      <c r="X30" s="11">
        <f t="shared" si="6"/>
        <v>0</v>
      </c>
    </row>
    <row r="31" spans="1:24" ht="15.5" x14ac:dyDescent="0.35">
      <c r="A31" s="1" t="s">
        <v>153</v>
      </c>
      <c r="B31" s="2" t="s">
        <v>29</v>
      </c>
      <c r="C31" s="3" t="s">
        <v>47</v>
      </c>
      <c r="D31" s="18" t="str">
        <f t="shared" si="0"/>
        <v>nov</v>
      </c>
      <c r="E31" s="5">
        <v>45987</v>
      </c>
      <c r="F31" s="7"/>
      <c r="G31" s="7">
        <v>20</v>
      </c>
      <c r="H31" s="7"/>
      <c r="I31" s="7"/>
      <c r="J31" s="8">
        <v>22472.97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0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0</v>
      </c>
      <c r="M31" s="8">
        <f t="shared" si="1"/>
        <v>22472.97</v>
      </c>
      <c r="N31" s="9" t="str">
        <f t="shared" si="2"/>
        <v>N/A</v>
      </c>
      <c r="O31" s="10"/>
      <c r="P31" s="3"/>
      <c r="Q31" s="3"/>
      <c r="R31" s="3"/>
      <c r="S31" s="8">
        <f t="shared" si="3"/>
        <v>0</v>
      </c>
      <c r="T31" s="7">
        <f t="shared" si="4"/>
        <v>0</v>
      </c>
      <c r="U31" s="3"/>
      <c r="V31" s="8">
        <f t="shared" si="5"/>
        <v>0</v>
      </c>
      <c r="W31" s="8"/>
      <c r="X31" s="11">
        <f t="shared" si="6"/>
        <v>0</v>
      </c>
    </row>
    <row r="32" spans="1:24" ht="15.5" x14ac:dyDescent="0.35">
      <c r="A32" s="1">
        <v>1128</v>
      </c>
      <c r="B32" s="2" t="s">
        <v>23</v>
      </c>
      <c r="C32" s="3" t="s">
        <v>31</v>
      </c>
      <c r="D32" s="18" t="str">
        <f t="shared" si="0"/>
        <v>nov</v>
      </c>
      <c r="E32" s="5">
        <v>45988</v>
      </c>
      <c r="F32" s="7"/>
      <c r="G32" s="7">
        <v>3</v>
      </c>
      <c r="H32" s="7"/>
      <c r="I32" s="7"/>
      <c r="J32" s="17">
        <v>5771.14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0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0</v>
      </c>
      <c r="M32" s="8">
        <f t="shared" si="1"/>
        <v>5771.14</v>
      </c>
      <c r="N32" s="9" t="str">
        <f t="shared" si="2"/>
        <v>N/A</v>
      </c>
      <c r="O32" s="10"/>
      <c r="P32" s="3"/>
      <c r="Q32" s="3"/>
      <c r="R32" s="3"/>
      <c r="S32" s="8">
        <f t="shared" si="3"/>
        <v>0</v>
      </c>
      <c r="T32" s="7">
        <f t="shared" si="4"/>
        <v>0</v>
      </c>
      <c r="U32" s="3"/>
      <c r="V32" s="8">
        <f t="shared" si="5"/>
        <v>0</v>
      </c>
      <c r="W32" s="8"/>
      <c r="X32" s="11">
        <f t="shared" si="6"/>
        <v>0</v>
      </c>
    </row>
    <row r="33" spans="1:24" ht="15.5" x14ac:dyDescent="0.35">
      <c r="A33" s="1" t="s">
        <v>154</v>
      </c>
      <c r="B33" s="2" t="s">
        <v>29</v>
      </c>
      <c r="C33" s="3" t="s">
        <v>155</v>
      </c>
      <c r="D33" s="18" t="str">
        <f t="shared" si="0"/>
        <v>nov</v>
      </c>
      <c r="E33" s="5">
        <v>45988</v>
      </c>
      <c r="F33" s="6">
        <v>45992</v>
      </c>
      <c r="G33" s="7">
        <v>1.5</v>
      </c>
      <c r="H33" s="7">
        <v>190</v>
      </c>
      <c r="I33" s="7"/>
      <c r="J33" s="8">
        <v>362.5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0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0</v>
      </c>
      <c r="M33" s="8">
        <f t="shared" si="1"/>
        <v>362.5</v>
      </c>
      <c r="N33" s="9">
        <f t="shared" si="2"/>
        <v>1.9078947368421053</v>
      </c>
      <c r="O33" s="10"/>
      <c r="P33" s="3"/>
      <c r="Q33" s="3"/>
      <c r="R33" s="3"/>
      <c r="S33" s="8">
        <f t="shared" si="3"/>
        <v>0</v>
      </c>
      <c r="T33" s="7">
        <f t="shared" si="4"/>
        <v>190</v>
      </c>
      <c r="U33" s="3"/>
      <c r="V33" s="8">
        <f t="shared" si="5"/>
        <v>362.5</v>
      </c>
      <c r="W33" s="8"/>
      <c r="X33" s="11">
        <f t="shared" si="6"/>
        <v>0</v>
      </c>
    </row>
    <row r="34" spans="1:24" ht="15.5" x14ac:dyDescent="0.35">
      <c r="A34" s="1"/>
      <c r="B34" s="2"/>
      <c r="C34" s="3"/>
      <c r="D34" s="18" t="str">
        <f t="shared" si="0"/>
        <v>-</v>
      </c>
      <c r="E34" s="20"/>
      <c r="F34" s="7"/>
      <c r="G34" s="7"/>
      <c r="H34" s="7"/>
      <c r="I34" s="7"/>
      <c r="J34" s="8"/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0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0</v>
      </c>
      <c r="M34" s="8">
        <f t="shared" si="1"/>
        <v>0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6"/>
        <v>0</v>
      </c>
    </row>
    <row r="35" spans="1:24" ht="15.5" x14ac:dyDescent="0.35">
      <c r="A35" s="1"/>
      <c r="B35" s="2"/>
      <c r="C35" s="3"/>
      <c r="D35" s="18" t="str">
        <f t="shared" si="0"/>
        <v>-</v>
      </c>
      <c r="E35" s="20"/>
      <c r="F35" s="7"/>
      <c r="G35" s="7"/>
      <c r="H35" s="7"/>
      <c r="I35" s="7"/>
      <c r="J35" s="8"/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0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0</v>
      </c>
      <c r="M35" s="8">
        <f t="shared" si="1"/>
        <v>0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6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40" spans="1:24" ht="15.75" customHeight="1" x14ac:dyDescent="0.25">
      <c r="F40" s="22"/>
      <c r="H40" s="22">
        <v>229411.41999999995</v>
      </c>
      <c r="I40" s="22" t="s">
        <v>156</v>
      </c>
      <c r="J40" s="22">
        <f>SUMIF(D2:D38,I40,J2:J38)</f>
        <v>229411.41999999995</v>
      </c>
      <c r="K40" s="22">
        <v>272230.2</v>
      </c>
      <c r="M40" s="22">
        <f>SUMIF(D2:D38,I40,M2:M38)</f>
        <v>229411.41999999995</v>
      </c>
      <c r="N40" s="22"/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7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8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157</v>
      </c>
      <c r="M43" s="21" t="s">
        <v>158</v>
      </c>
      <c r="N43" s="21" t="s">
        <v>159</v>
      </c>
      <c r="O43" s="21" t="s">
        <v>70</v>
      </c>
      <c r="P43" s="21"/>
      <c r="Q43" s="21"/>
      <c r="R43" s="21" t="s">
        <v>71</v>
      </c>
      <c r="S43" s="21">
        <f t="shared" si="7"/>
        <v>3006.2999999999997</v>
      </c>
      <c r="T43" s="21" t="s">
        <v>72</v>
      </c>
      <c r="U43" s="21">
        <v>460</v>
      </c>
      <c r="V43" s="21">
        <v>6914.49</v>
      </c>
      <c r="W43" s="21">
        <f t="shared" si="8"/>
        <v>15.031499999999999</v>
      </c>
      <c r="X43" s="21">
        <f>ROUND(W43*150,2)</f>
        <v>2254.73</v>
      </c>
    </row>
    <row r="44" spans="1:24" ht="15.75" customHeight="1" x14ac:dyDescent="0.25">
      <c r="D44" s="22"/>
      <c r="E44" s="22"/>
      <c r="G44" s="21">
        <f t="shared" ref="G44:G50" si="9">SUM(I44:R44)</f>
        <v>350</v>
      </c>
      <c r="H44" s="21" t="s">
        <v>56</v>
      </c>
      <c r="I44" s="24">
        <v>350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ROUND(S43+S42,2)</f>
        <v>4889.5</v>
      </c>
    </row>
    <row r="45" spans="1:24" ht="15.75" customHeight="1" x14ac:dyDescent="0.25">
      <c r="D45" s="22"/>
      <c r="E45" s="22"/>
      <c r="G45" s="21">
        <f t="shared" si="9"/>
        <v>455</v>
      </c>
      <c r="H45" s="21" t="s">
        <v>57</v>
      </c>
      <c r="I45" s="24"/>
      <c r="J45" s="24"/>
      <c r="K45" s="24"/>
      <c r="L45" s="24">
        <v>455</v>
      </c>
      <c r="M45" s="24"/>
      <c r="N45" s="24"/>
      <c r="O45" s="24"/>
      <c r="P45" s="24"/>
      <c r="Q45" s="24"/>
      <c r="R45" s="24"/>
    </row>
    <row r="46" spans="1:24" ht="15.75" customHeight="1" x14ac:dyDescent="0.25">
      <c r="D46" s="22"/>
      <c r="E46" s="22"/>
      <c r="G46" s="21">
        <f t="shared" si="9"/>
        <v>700</v>
      </c>
      <c r="H46" s="21" t="s">
        <v>56</v>
      </c>
      <c r="I46" s="24">
        <v>700</v>
      </c>
      <c r="J46" s="24"/>
      <c r="K46" s="24"/>
      <c r="L46" s="24"/>
      <c r="M46" s="24"/>
      <c r="N46" s="24"/>
      <c r="O46" s="24"/>
      <c r="P46" s="24"/>
      <c r="Q46" s="24"/>
      <c r="R46" s="24"/>
      <c r="S46" s="21">
        <f>S44/2</f>
        <v>2444.75</v>
      </c>
      <c r="V46" s="21">
        <f>W42*100</f>
        <v>941.6</v>
      </c>
    </row>
    <row r="47" spans="1:24" ht="15.75" customHeight="1" x14ac:dyDescent="0.25">
      <c r="D47" s="22"/>
      <c r="E47" s="22"/>
      <c r="G47" s="21">
        <f t="shared" si="9"/>
        <v>390</v>
      </c>
      <c r="H47" s="22" t="s">
        <v>31</v>
      </c>
      <c r="I47" s="24"/>
      <c r="J47" s="24"/>
      <c r="K47" s="24"/>
      <c r="L47" s="24">
        <v>390</v>
      </c>
      <c r="M47" s="24"/>
      <c r="N47" s="24"/>
      <c r="O47" s="24"/>
      <c r="P47" s="24"/>
      <c r="Q47" s="24"/>
      <c r="R47" s="24"/>
      <c r="V47" s="21">
        <f>W43*250</f>
        <v>3757.875</v>
      </c>
    </row>
    <row r="48" spans="1:24" ht="15.75" customHeight="1" x14ac:dyDescent="0.25">
      <c r="D48" s="22"/>
      <c r="E48" s="22"/>
      <c r="G48" s="21">
        <f t="shared" si="9"/>
        <v>800</v>
      </c>
      <c r="H48" s="21" t="s">
        <v>26</v>
      </c>
      <c r="I48" s="24">
        <v>350</v>
      </c>
      <c r="J48" s="24"/>
      <c r="K48" s="24"/>
      <c r="L48" s="24"/>
      <c r="M48" s="24">
        <v>450</v>
      </c>
      <c r="N48" s="24"/>
      <c r="O48" s="24"/>
      <c r="P48" s="24"/>
      <c r="Q48" s="24"/>
      <c r="R48" s="24"/>
      <c r="V48" s="21">
        <f>V47+V46</f>
        <v>4699.4750000000004</v>
      </c>
    </row>
    <row r="49" spans="3:18" ht="15.75" customHeight="1" x14ac:dyDescent="0.25">
      <c r="D49" s="22"/>
      <c r="E49" s="22"/>
      <c r="G49" s="21">
        <f t="shared" si="9"/>
        <v>3986</v>
      </c>
      <c r="H49" s="21" t="s">
        <v>45</v>
      </c>
      <c r="I49" s="24"/>
      <c r="J49" s="24"/>
      <c r="K49" s="24"/>
      <c r="L49" s="24"/>
      <c r="M49" s="24"/>
      <c r="N49" s="24">
        <v>3986</v>
      </c>
      <c r="O49" s="24"/>
      <c r="P49" s="24"/>
      <c r="Q49" s="24"/>
      <c r="R49" s="24"/>
    </row>
    <row r="50" spans="3:18" ht="15.75" customHeight="1" x14ac:dyDescent="0.25">
      <c r="D50" s="22"/>
      <c r="E50" s="22"/>
      <c r="G50" s="21">
        <f t="shared" si="9"/>
        <v>0</v>
      </c>
      <c r="H50" s="21" t="s">
        <v>31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2" spans="3:18" ht="15.75" customHeight="1" x14ac:dyDescent="0.25">
      <c r="P52" s="21"/>
      <c r="Q52" s="21"/>
    </row>
    <row r="53" spans="3:18" ht="15.75" customHeight="1" x14ac:dyDescent="0.25">
      <c r="J53" s="22"/>
    </row>
    <row r="57" spans="3:18" ht="15.75" customHeight="1" x14ac:dyDescent="0.25">
      <c r="C57" s="26"/>
    </row>
  </sheetData>
  <conditionalFormatting sqref="N2:N38">
    <cfRule type="cellIs" dxfId="1" priority="1" operator="greaterThan">
      <formula>60</formula>
    </cfRule>
    <cfRule type="cellIs" dxfId="0" priority="2" operator="greaterThan">
      <formula>45</formula>
    </cfRule>
  </conditionalFormatting>
  <dataValidations count="1">
    <dataValidation type="list" allowBlank="1" showErrorMessage="1" sqref="B2:B38" xr:uid="{00000000-0002-0000-0A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1:Q111"/>
  <sheetViews>
    <sheetView topLeftCell="A33" workbookViewId="0">
      <selection activeCell="E111" sqref="B33:E111"/>
    </sheetView>
  </sheetViews>
  <sheetFormatPr baseColWidth="10" defaultColWidth="12.6328125" defaultRowHeight="15.75" customHeight="1" x14ac:dyDescent="0.25"/>
  <cols>
    <col min="2" max="2" width="22.1796875" bestFit="1" customWidth="1"/>
    <col min="3" max="10" width="13.1796875" bestFit="1" customWidth="1"/>
  </cols>
  <sheetData>
    <row r="1" spans="2:15" ht="15.5" x14ac:dyDescent="0.35">
      <c r="B1" s="44"/>
      <c r="C1" s="44"/>
      <c r="D1" s="44"/>
      <c r="E1" s="45"/>
    </row>
    <row r="2" spans="2:15" ht="15.5" x14ac:dyDescent="0.35">
      <c r="B2" s="44" t="s">
        <v>160</v>
      </c>
      <c r="C2" s="45" t="s">
        <v>161</v>
      </c>
      <c r="D2" s="45" t="s">
        <v>162</v>
      </c>
      <c r="E2" s="45" t="s">
        <v>163</v>
      </c>
      <c r="F2" s="45" t="s">
        <v>164</v>
      </c>
      <c r="G2" s="45" t="s">
        <v>165</v>
      </c>
      <c r="H2" s="45" t="s">
        <v>166</v>
      </c>
      <c r="I2" s="45" t="s">
        <v>167</v>
      </c>
      <c r="J2" s="45" t="s">
        <v>168</v>
      </c>
      <c r="K2" s="45" t="s">
        <v>169</v>
      </c>
      <c r="L2" s="45" t="s">
        <v>170</v>
      </c>
      <c r="M2" s="45" t="s">
        <v>171</v>
      </c>
      <c r="N2" s="45"/>
      <c r="O2" s="45" t="s">
        <v>161</v>
      </c>
    </row>
    <row r="3" spans="2:15" ht="15.5" x14ac:dyDescent="0.35">
      <c r="B3" s="46" t="s">
        <v>172</v>
      </c>
      <c r="C3" s="47">
        <v>7765.75</v>
      </c>
      <c r="D3" s="47">
        <v>5930.25</v>
      </c>
      <c r="E3" s="47">
        <v>7142.2</v>
      </c>
      <c r="F3" s="47">
        <v>7484.24</v>
      </c>
      <c r="G3" s="47">
        <v>6391.03</v>
      </c>
      <c r="H3" s="47">
        <v>3516.65</v>
      </c>
      <c r="I3" s="47">
        <v>6970</v>
      </c>
      <c r="J3" s="47">
        <v>5582.98</v>
      </c>
      <c r="K3" s="47">
        <v>5836.19</v>
      </c>
      <c r="L3" s="47">
        <v>5425.57</v>
      </c>
      <c r="M3" s="47">
        <v>5202.16</v>
      </c>
      <c r="N3" s="47"/>
      <c r="O3" s="45" t="s">
        <v>162</v>
      </c>
    </row>
    <row r="4" spans="2:15" ht="15.5" x14ac:dyDescent="0.35">
      <c r="B4" s="46" t="s">
        <v>173</v>
      </c>
      <c r="C4" s="48">
        <v>11101.78</v>
      </c>
      <c r="D4" s="48">
        <v>9216.4</v>
      </c>
      <c r="E4" s="48">
        <v>10381.959999999999</v>
      </c>
      <c r="F4" s="48">
        <v>9637.73</v>
      </c>
      <c r="G4" s="48">
        <v>11542.93</v>
      </c>
      <c r="H4" s="48">
        <v>13238.93</v>
      </c>
      <c r="I4" s="48">
        <v>13746.17</v>
      </c>
      <c r="J4" s="48">
        <v>13942.38</v>
      </c>
      <c r="K4" s="48">
        <v>15008.49</v>
      </c>
      <c r="L4" s="48">
        <v>14673.38</v>
      </c>
      <c r="M4" s="48">
        <v>15537.38</v>
      </c>
      <c r="N4" s="48"/>
      <c r="O4" s="45" t="s">
        <v>163</v>
      </c>
    </row>
    <row r="5" spans="2:15" ht="15.5" x14ac:dyDescent="0.35">
      <c r="B5" s="46" t="s">
        <v>174</v>
      </c>
      <c r="C5" s="48">
        <v>1848.25</v>
      </c>
      <c r="D5" s="48">
        <v>4551.26</v>
      </c>
      <c r="E5" s="48">
        <v>2800.56</v>
      </c>
      <c r="F5" s="48">
        <v>2356</v>
      </c>
      <c r="G5" s="48">
        <v>2474.0100000000002</v>
      </c>
      <c r="H5" s="48">
        <v>2147.4699999999998</v>
      </c>
      <c r="I5" s="48">
        <v>1906.27</v>
      </c>
      <c r="J5" s="48">
        <v>1790.23</v>
      </c>
      <c r="K5" s="48">
        <v>2859.56</v>
      </c>
      <c r="L5" s="48">
        <v>1733.21</v>
      </c>
      <c r="M5" s="48">
        <v>3037.58</v>
      </c>
      <c r="N5" s="48"/>
      <c r="O5" s="45" t="s">
        <v>164</v>
      </c>
    </row>
    <row r="6" spans="2:15" ht="15.5" x14ac:dyDescent="0.35">
      <c r="B6" s="44" t="s">
        <v>175</v>
      </c>
      <c r="C6" s="49">
        <f>SUM(C3:C5)</f>
        <v>20715.78</v>
      </c>
      <c r="D6" s="49">
        <f t="shared" ref="C6:M6" si="0">SUM(D3:D5)</f>
        <v>19697.91</v>
      </c>
      <c r="E6" s="49">
        <f t="shared" si="0"/>
        <v>20324.72</v>
      </c>
      <c r="F6" s="49">
        <f t="shared" si="0"/>
        <v>19477.97</v>
      </c>
      <c r="G6" s="49">
        <f t="shared" si="0"/>
        <v>20407.97</v>
      </c>
      <c r="H6" s="49">
        <f t="shared" si="0"/>
        <v>18903.050000000003</v>
      </c>
      <c r="I6" s="49">
        <f t="shared" si="0"/>
        <v>22622.44</v>
      </c>
      <c r="J6" s="49">
        <f t="shared" si="0"/>
        <v>21315.59</v>
      </c>
      <c r="K6" s="49">
        <f t="shared" si="0"/>
        <v>23704.240000000002</v>
      </c>
      <c r="L6" s="49">
        <f t="shared" si="0"/>
        <v>21832.159999999996</v>
      </c>
      <c r="M6" s="49">
        <f t="shared" si="0"/>
        <v>23777.120000000003</v>
      </c>
      <c r="N6" s="44"/>
      <c r="O6" s="45" t="s">
        <v>165</v>
      </c>
    </row>
    <row r="7" spans="2:15" ht="15.5" x14ac:dyDescent="0.35">
      <c r="B7" s="46" t="s">
        <v>176</v>
      </c>
      <c r="C7" s="48">
        <v>16379.31</v>
      </c>
      <c r="D7" s="48">
        <v>14655.17</v>
      </c>
      <c r="E7" s="48">
        <v>13793.11</v>
      </c>
      <c r="F7" s="48">
        <v>7327.59</v>
      </c>
      <c r="G7" s="48">
        <v>18534.490000000002</v>
      </c>
      <c r="H7" s="48">
        <v>10344.83</v>
      </c>
      <c r="I7" s="48">
        <v>10344.84</v>
      </c>
      <c r="J7" s="48">
        <v>16379.32</v>
      </c>
      <c r="K7" s="48">
        <v>17241.39</v>
      </c>
      <c r="L7" s="48">
        <v>14053.65</v>
      </c>
      <c r="M7" s="48">
        <v>10344.83</v>
      </c>
      <c r="N7" s="48"/>
      <c r="O7" s="45" t="s">
        <v>166</v>
      </c>
    </row>
    <row r="8" spans="2:15" ht="15.5" x14ac:dyDescent="0.35">
      <c r="B8" s="46" t="s">
        <v>177</v>
      </c>
      <c r="C8" s="48">
        <v>27943.9</v>
      </c>
      <c r="D8" s="48">
        <v>25352.62</v>
      </c>
      <c r="E8" s="48">
        <v>27014.09</v>
      </c>
      <c r="F8" s="48">
        <v>28304.05</v>
      </c>
      <c r="G8" s="48">
        <v>28530.53</v>
      </c>
      <c r="H8" s="48">
        <v>31678.58</v>
      </c>
      <c r="I8" s="48">
        <v>40232.230000000003</v>
      </c>
      <c r="J8" s="48">
        <v>41015.72</v>
      </c>
      <c r="K8" s="48">
        <v>43389.86</v>
      </c>
      <c r="L8" s="48">
        <v>45689.04</v>
      </c>
      <c r="M8" s="48">
        <v>40812.58</v>
      </c>
      <c r="N8" s="48"/>
      <c r="O8" s="45" t="s">
        <v>167</v>
      </c>
    </row>
    <row r="9" spans="2:15" ht="15.5" x14ac:dyDescent="0.35">
      <c r="B9" s="46" t="s">
        <v>178</v>
      </c>
      <c r="C9" s="48">
        <v>6509.51</v>
      </c>
      <c r="D9" s="48">
        <v>7221.59</v>
      </c>
      <c r="E9" s="48">
        <v>5678.41</v>
      </c>
      <c r="F9" s="48">
        <v>5856.42</v>
      </c>
      <c r="G9" s="48">
        <v>6182.96</v>
      </c>
      <c r="H9" s="48">
        <v>6627.52</v>
      </c>
      <c r="I9" s="48">
        <v>6063.96</v>
      </c>
      <c r="J9" s="48">
        <v>5797.42</v>
      </c>
      <c r="K9" s="48">
        <v>7013.06</v>
      </c>
      <c r="L9" s="48">
        <v>5707.91</v>
      </c>
      <c r="M9" s="48">
        <v>6241.97</v>
      </c>
      <c r="N9" s="48"/>
      <c r="O9" s="45" t="s">
        <v>168</v>
      </c>
    </row>
    <row r="10" spans="2:15" ht="15.5" x14ac:dyDescent="0.35">
      <c r="B10" s="50" t="s">
        <v>179</v>
      </c>
      <c r="C10" s="51">
        <f>SUM(C7:C9)</f>
        <v>50832.72</v>
      </c>
      <c r="D10" s="51">
        <f t="shared" ref="C10:M10" si="1">SUM(D7:D9)</f>
        <v>47229.380000000005</v>
      </c>
      <c r="E10" s="51">
        <f t="shared" si="1"/>
        <v>46485.61</v>
      </c>
      <c r="F10" s="51">
        <f t="shared" si="1"/>
        <v>41488.06</v>
      </c>
      <c r="G10" s="51">
        <f t="shared" si="1"/>
        <v>53247.98</v>
      </c>
      <c r="H10" s="51">
        <f t="shared" si="1"/>
        <v>48650.930000000008</v>
      </c>
      <c r="I10" s="51">
        <f t="shared" si="1"/>
        <v>56641.030000000006</v>
      </c>
      <c r="J10" s="51">
        <f t="shared" si="1"/>
        <v>63192.46</v>
      </c>
      <c r="K10" s="51">
        <f t="shared" si="1"/>
        <v>67644.31</v>
      </c>
      <c r="L10" s="51">
        <f t="shared" si="1"/>
        <v>65450.600000000006</v>
      </c>
      <c r="M10" s="51">
        <f t="shared" si="1"/>
        <v>57399.380000000005</v>
      </c>
      <c r="N10" s="52"/>
      <c r="O10" s="45" t="s">
        <v>169</v>
      </c>
    </row>
    <row r="11" spans="2:15" ht="15.5" x14ac:dyDescent="0.35">
      <c r="B11" s="46" t="s">
        <v>180</v>
      </c>
      <c r="C11" s="47">
        <v>25964.92</v>
      </c>
      <c r="D11" s="47">
        <v>36096.31</v>
      </c>
      <c r="E11" s="47">
        <v>22678.99</v>
      </c>
      <c r="F11" s="47">
        <v>42191.66</v>
      </c>
      <c r="G11" s="47">
        <f>12347.41+4667</f>
        <v>17014.41</v>
      </c>
      <c r="H11" s="47">
        <v>26851.81</v>
      </c>
      <c r="I11" s="47">
        <v>35165.949999999997</v>
      </c>
      <c r="J11" s="47">
        <v>44673.29</v>
      </c>
      <c r="K11" s="47">
        <v>28530.12</v>
      </c>
      <c r="L11" s="47">
        <v>33496.06</v>
      </c>
      <c r="M11" s="47">
        <v>28116.15</v>
      </c>
      <c r="N11" s="47"/>
      <c r="O11" s="45" t="s">
        <v>170</v>
      </c>
    </row>
    <row r="12" spans="2:15" ht="15.5" x14ac:dyDescent="0.35">
      <c r="B12" s="46" t="s">
        <v>181</v>
      </c>
      <c r="C12" s="23">
        <f>(C$11/(C$15+C$16))*C15</f>
        <v>9609.0648818897625</v>
      </c>
      <c r="D12" s="23">
        <f>(D$11/(D$15+D$16))*D15</f>
        <v>10047.42649484536</v>
      </c>
      <c r="E12" s="23">
        <f t="shared" ref="C12:M12" si="2">(E$11/(E$15+E$16))*E15</f>
        <v>11814.803173652695</v>
      </c>
      <c r="F12" s="23">
        <f t="shared" si="2"/>
        <v>11506.816363636364</v>
      </c>
      <c r="G12" s="23">
        <f t="shared" si="2"/>
        <v>6702.6463636363642</v>
      </c>
      <c r="H12" s="23">
        <f t="shared" si="2"/>
        <v>8333.3203448275854</v>
      </c>
      <c r="I12" s="23">
        <f t="shared" si="2"/>
        <v>13635.776530612244</v>
      </c>
      <c r="J12" s="23">
        <f t="shared" si="2"/>
        <v>11228.046149732621</v>
      </c>
      <c r="K12" s="23">
        <f t="shared" si="2"/>
        <v>9882.9827450980392</v>
      </c>
      <c r="L12" s="23">
        <f t="shared" si="2"/>
        <v>10592.771111111111</v>
      </c>
      <c r="M12" s="23">
        <f t="shared" si="2"/>
        <v>6723.4271739130436</v>
      </c>
      <c r="N12" s="23"/>
      <c r="O12" s="45" t="s">
        <v>171</v>
      </c>
    </row>
    <row r="13" spans="2:15" ht="15.5" x14ac:dyDescent="0.35">
      <c r="B13" s="46" t="s">
        <v>182</v>
      </c>
      <c r="C13" s="23">
        <f>(C$11/(C$15+C$16))*C16</f>
        <v>16355.855118110234</v>
      </c>
      <c r="D13" s="23">
        <f>(D$11/(D$15+D$16))*D16</f>
        <v>26048.883505154638</v>
      </c>
      <c r="E13" s="23">
        <f t="shared" ref="C13:M13" si="3">(E$11/(E$15+E$16))*E16</f>
        <v>10864.186826347306</v>
      </c>
      <c r="F13" s="23">
        <f t="shared" si="3"/>
        <v>30684.843636363639</v>
      </c>
      <c r="G13" s="23">
        <f t="shared" si="3"/>
        <v>10311.763636363637</v>
      </c>
      <c r="H13" s="23">
        <f t="shared" si="3"/>
        <v>18518.489655172412</v>
      </c>
      <c r="I13" s="23">
        <f t="shared" si="3"/>
        <v>21530.173469387752</v>
      </c>
      <c r="J13" s="23">
        <f t="shared" si="3"/>
        <v>33445.243850267383</v>
      </c>
      <c r="K13" s="23">
        <f t="shared" si="3"/>
        <v>18647.137254901962</v>
      </c>
      <c r="L13" s="23">
        <f t="shared" si="3"/>
        <v>22903.288888888888</v>
      </c>
      <c r="M13" s="23">
        <f t="shared" si="3"/>
        <v>21392.72282608696</v>
      </c>
      <c r="N13" s="23"/>
      <c r="O13" s="23"/>
    </row>
    <row r="14" spans="2:15" ht="15.5" x14ac:dyDescent="0.35">
      <c r="B14" s="52"/>
      <c r="D14" s="52"/>
      <c r="E14" s="53"/>
    </row>
    <row r="15" spans="2:15" ht="15.5" x14ac:dyDescent="0.35">
      <c r="B15" s="46" t="s">
        <v>183</v>
      </c>
      <c r="C15" s="21">
        <v>47</v>
      </c>
      <c r="D15" s="54">
        <v>54</v>
      </c>
      <c r="E15" s="53">
        <v>43.5</v>
      </c>
      <c r="F15" s="21">
        <v>45</v>
      </c>
      <c r="G15" s="21">
        <v>52</v>
      </c>
      <c r="H15" s="21">
        <v>45</v>
      </c>
      <c r="I15" s="21">
        <v>38</v>
      </c>
      <c r="J15" s="21">
        <v>47</v>
      </c>
      <c r="K15" s="21">
        <v>53</v>
      </c>
      <c r="L15" s="21">
        <v>37</v>
      </c>
      <c r="M15" s="21">
        <v>44</v>
      </c>
    </row>
    <row r="16" spans="2:15" ht="15.5" x14ac:dyDescent="0.35">
      <c r="B16" s="46" t="s">
        <v>184</v>
      </c>
      <c r="C16" s="21">
        <v>80</v>
      </c>
      <c r="D16" s="54">
        <v>140</v>
      </c>
      <c r="E16" s="53">
        <v>40</v>
      </c>
      <c r="F16" s="21">
        <v>120</v>
      </c>
      <c r="G16" s="21">
        <v>80</v>
      </c>
      <c r="H16" s="21">
        <v>100</v>
      </c>
      <c r="I16" s="21">
        <v>60</v>
      </c>
      <c r="J16" s="21">
        <v>140</v>
      </c>
      <c r="K16" s="21">
        <v>100</v>
      </c>
      <c r="L16" s="21">
        <v>80</v>
      </c>
      <c r="M16" s="21">
        <v>140</v>
      </c>
    </row>
    <row r="17" spans="2:17" ht="15.5" x14ac:dyDescent="0.35">
      <c r="B17" s="46" t="s">
        <v>185</v>
      </c>
      <c r="C17" s="21">
        <v>13</v>
      </c>
      <c r="D17" s="54">
        <v>15</v>
      </c>
      <c r="E17" s="53">
        <v>12</v>
      </c>
      <c r="F17" s="21">
        <v>13</v>
      </c>
      <c r="G17" s="21">
        <v>15</v>
      </c>
      <c r="H17" s="21">
        <v>13</v>
      </c>
      <c r="I17" s="21">
        <v>11</v>
      </c>
      <c r="J17" s="21">
        <v>13</v>
      </c>
      <c r="K17" s="21">
        <v>15</v>
      </c>
      <c r="L17" s="21">
        <v>10</v>
      </c>
      <c r="M17" s="21">
        <v>12</v>
      </c>
    </row>
    <row r="18" spans="2:17" ht="15.5" x14ac:dyDescent="0.35">
      <c r="B18" s="46" t="s">
        <v>186</v>
      </c>
      <c r="C18" s="21">
        <v>4</v>
      </c>
      <c r="D18" s="54">
        <v>7</v>
      </c>
      <c r="E18" s="53">
        <v>2</v>
      </c>
      <c r="F18" s="21">
        <v>6</v>
      </c>
      <c r="G18" s="21">
        <v>4</v>
      </c>
      <c r="H18" s="21">
        <v>5</v>
      </c>
      <c r="I18" s="21">
        <v>3</v>
      </c>
      <c r="J18" s="21">
        <v>7</v>
      </c>
      <c r="K18" s="21">
        <v>5</v>
      </c>
      <c r="L18" s="21">
        <v>4</v>
      </c>
      <c r="M18" s="21">
        <v>7</v>
      </c>
    </row>
    <row r="19" spans="2:17" ht="15.5" x14ac:dyDescent="0.35">
      <c r="B19" s="46"/>
      <c r="D19" s="46"/>
      <c r="E19" s="53"/>
    </row>
    <row r="20" spans="2:17" ht="15.5" x14ac:dyDescent="0.35">
      <c r="B20" s="52" t="s">
        <v>9</v>
      </c>
      <c r="C20" s="45" t="s">
        <v>161</v>
      </c>
      <c r="D20" s="45" t="s">
        <v>162</v>
      </c>
      <c r="E20" s="45" t="s">
        <v>163</v>
      </c>
      <c r="F20" s="45" t="s">
        <v>164</v>
      </c>
      <c r="G20" s="45" t="s">
        <v>165</v>
      </c>
      <c r="H20" s="45" t="s">
        <v>166</v>
      </c>
      <c r="I20" s="45" t="s">
        <v>167</v>
      </c>
      <c r="J20" s="45" t="s">
        <v>168</v>
      </c>
      <c r="K20" s="45" t="s">
        <v>169</v>
      </c>
      <c r="L20" s="45" t="s">
        <v>170</v>
      </c>
      <c r="M20" s="45" t="s">
        <v>171</v>
      </c>
      <c r="N20" s="45"/>
      <c r="O20" s="45"/>
    </row>
    <row r="21" spans="2:17" ht="15.5" x14ac:dyDescent="0.35">
      <c r="B21" s="46" t="s">
        <v>187</v>
      </c>
      <c r="C21" s="65">
        <v>34040.01</v>
      </c>
      <c r="D21" s="65">
        <v>36740.6682</v>
      </c>
      <c r="E21" s="65">
        <v>36476.807399999998</v>
      </c>
      <c r="F21" s="66">
        <v>37068.35</v>
      </c>
      <c r="G21" s="66">
        <v>36857.11</v>
      </c>
      <c r="H21" s="66">
        <v>38048.349730000002</v>
      </c>
      <c r="I21" s="65">
        <v>36857.109299999996</v>
      </c>
      <c r="J21" s="65">
        <v>37108.35</v>
      </c>
      <c r="K21" s="65">
        <v>37868.35</v>
      </c>
      <c r="L21" s="66">
        <v>39061.519999999997</v>
      </c>
      <c r="M21" s="65">
        <v>41991.519500000002</v>
      </c>
      <c r="N21" s="48"/>
      <c r="O21" s="48"/>
      <c r="Q21" s="55"/>
    </row>
    <row r="22" spans="2:17" ht="15.5" x14ac:dyDescent="0.35">
      <c r="B22" s="46" t="s">
        <v>188</v>
      </c>
      <c r="C22" s="65">
        <v>19000</v>
      </c>
      <c r="D22" s="65">
        <v>19000</v>
      </c>
      <c r="E22" s="65">
        <v>19000</v>
      </c>
      <c r="F22" s="66">
        <v>19000</v>
      </c>
      <c r="G22" s="66">
        <v>19000</v>
      </c>
      <c r="H22" s="66">
        <v>19000</v>
      </c>
      <c r="I22" s="65">
        <v>19000</v>
      </c>
      <c r="J22" s="65">
        <v>10000</v>
      </c>
      <c r="K22" s="65">
        <v>22431</v>
      </c>
      <c r="L22" s="66">
        <v>19000</v>
      </c>
      <c r="M22" s="65">
        <v>19000</v>
      </c>
      <c r="N22" s="48"/>
      <c r="O22" s="48"/>
      <c r="Q22" s="55"/>
    </row>
    <row r="23" spans="2:17" ht="15.5" x14ac:dyDescent="0.35">
      <c r="B23" s="46" t="s">
        <v>189</v>
      </c>
      <c r="C23" s="65">
        <v>40488.11</v>
      </c>
      <c r="D23" s="65">
        <v>43303.555899999999</v>
      </c>
      <c r="E23" s="65">
        <v>42992.281799999997</v>
      </c>
      <c r="F23" s="66">
        <v>43688.7</v>
      </c>
      <c r="G23" s="66">
        <v>43439.74</v>
      </c>
      <c r="H23" s="66">
        <v>43688.699710000001</v>
      </c>
      <c r="I23" s="65">
        <v>43439.737000000001</v>
      </c>
      <c r="J23" s="65">
        <v>43688.7</v>
      </c>
      <c r="K23" s="65">
        <v>43848.7</v>
      </c>
      <c r="L23" s="66">
        <v>48055.39</v>
      </c>
      <c r="M23" s="65">
        <v>43697.5959</v>
      </c>
      <c r="N23" s="48"/>
      <c r="O23" s="48"/>
      <c r="Q23" s="55"/>
    </row>
    <row r="24" spans="2:17" ht="15.5" x14ac:dyDescent="0.35">
      <c r="B24" s="46" t="s">
        <v>190</v>
      </c>
      <c r="C24" s="65">
        <v>17446.150000000001</v>
      </c>
      <c r="D24" s="65">
        <v>14335.668600000001</v>
      </c>
      <c r="E24" s="65">
        <v>17178.819299999999</v>
      </c>
      <c r="F24" s="66">
        <v>17949.830000000002</v>
      </c>
      <c r="G24" s="66">
        <v>17853.66</v>
      </c>
      <c r="H24" s="66">
        <v>17929.825850000001</v>
      </c>
      <c r="I24" s="65">
        <v>16853.660400000001</v>
      </c>
      <c r="J24" s="65">
        <v>17609.830000000002</v>
      </c>
      <c r="K24" s="65">
        <v>17629.830000000002</v>
      </c>
      <c r="L24" s="66">
        <v>19218.25</v>
      </c>
      <c r="M24" s="65">
        <v>24348.0926</v>
      </c>
      <c r="N24" s="48"/>
      <c r="O24" s="48"/>
      <c r="Q24" s="55"/>
    </row>
    <row r="25" spans="2:17" ht="15.5" x14ac:dyDescent="0.35">
      <c r="B25" s="46" t="s">
        <v>191</v>
      </c>
      <c r="C25" s="65">
        <v>20611.490000000002</v>
      </c>
      <c r="D25" s="65">
        <v>20969.0337</v>
      </c>
      <c r="E25" s="65">
        <v>19809.6106</v>
      </c>
      <c r="F25" s="66">
        <v>20638.13</v>
      </c>
      <c r="G25" s="66">
        <v>19521.5</v>
      </c>
      <c r="H25" s="66">
        <v>19641.943480000002</v>
      </c>
      <c r="I25" s="65">
        <v>20525.185700000002</v>
      </c>
      <c r="J25" s="65">
        <v>20976.94</v>
      </c>
      <c r="K25" s="65">
        <v>17881.939999999999</v>
      </c>
      <c r="L25" s="66">
        <v>25255.69</v>
      </c>
      <c r="M25" s="65">
        <v>19132.283299999999</v>
      </c>
      <c r="N25" s="48"/>
      <c r="O25" s="48"/>
      <c r="Q25" s="55"/>
    </row>
    <row r="26" spans="2:17" ht="15.5" x14ac:dyDescent="0.35">
      <c r="B26" s="46" t="s">
        <v>192</v>
      </c>
      <c r="C26" s="65">
        <v>17937.189999999999</v>
      </c>
      <c r="D26" s="65">
        <v>17835.668600000001</v>
      </c>
      <c r="E26" s="65">
        <v>18418.819299999999</v>
      </c>
      <c r="F26" s="66">
        <v>17659.830000000002</v>
      </c>
      <c r="G26" s="66">
        <v>16853.66</v>
      </c>
      <c r="H26" s="66">
        <v>16849.825850000001</v>
      </c>
      <c r="I26" s="65">
        <v>16471.370500000001</v>
      </c>
      <c r="J26" s="65">
        <v>17574.830000000002</v>
      </c>
      <c r="K26" s="65">
        <v>11614.49</v>
      </c>
      <c r="L26" s="66">
        <v>8148.82</v>
      </c>
      <c r="M26" s="65">
        <v>18326.846099999999</v>
      </c>
      <c r="N26" s="48"/>
      <c r="O26" s="48"/>
      <c r="Q26" s="55"/>
    </row>
    <row r="27" spans="2:17" ht="15.5" x14ac:dyDescent="0.35">
      <c r="B27" s="46" t="s">
        <v>193</v>
      </c>
      <c r="C27" s="65">
        <v>17393.11</v>
      </c>
      <c r="D27" s="65">
        <v>17832.791799999999</v>
      </c>
      <c r="E27" s="65">
        <v>17616.096399999999</v>
      </c>
      <c r="F27" s="66">
        <v>20374.13</v>
      </c>
      <c r="G27" s="66">
        <v>16859.740000000002</v>
      </c>
      <c r="H27" s="66">
        <v>17449.825850000001</v>
      </c>
      <c r="I27" s="65">
        <v>18853.660400000001</v>
      </c>
      <c r="J27" s="65">
        <v>19139.830000000002</v>
      </c>
      <c r="K27" s="65">
        <v>20279.830000000002</v>
      </c>
      <c r="L27" s="66">
        <v>21380.11</v>
      </c>
      <c r="M27" s="65">
        <v>22419.7824</v>
      </c>
      <c r="N27" s="48"/>
      <c r="O27" s="48"/>
      <c r="Q27" s="55"/>
    </row>
    <row r="28" spans="2:17" ht="15.5" x14ac:dyDescent="0.35">
      <c r="B28" s="46" t="s">
        <v>194</v>
      </c>
      <c r="C28" s="67">
        <f>(((C$31/2)/(C$17+C$18*2))*C17)+(((C$31/2)/(C$15+C$16))*C15)</f>
        <v>82550.537360329967</v>
      </c>
      <c r="D28" s="67">
        <f t="shared" ref="C28:M28" si="4">(((D$31/2)/(D$17+D$18*2))*D17)+(((D$31/2)/(D$15+D$16))*D15)</f>
        <v>67632.227454390333</v>
      </c>
      <c r="E28" s="67">
        <f t="shared" si="4"/>
        <v>108979.84816257484</v>
      </c>
      <c r="F28" s="67">
        <f t="shared" si="4"/>
        <v>69910.209927272721</v>
      </c>
      <c r="G28" s="67">
        <f t="shared" si="4"/>
        <v>89121.222358366271</v>
      </c>
      <c r="H28" s="67">
        <f>(((H$31/2)/(H$17+H$18*2))*H17)+(((H$31/2)/(H$15+H$16))*H15)</f>
        <v>75564.727702008997</v>
      </c>
      <c r="I28" s="67">
        <f t="shared" si="4"/>
        <v>88994.371839495783</v>
      </c>
      <c r="J28" s="67">
        <f t="shared" si="4"/>
        <v>60860.009506833027</v>
      </c>
      <c r="K28" s="67">
        <f t="shared" si="4"/>
        <v>81179.867555555538</v>
      </c>
      <c r="L28" s="67">
        <f t="shared" si="4"/>
        <v>78513.750256410276</v>
      </c>
      <c r="M28" s="67">
        <f t="shared" si="4"/>
        <v>66183.824578762549</v>
      </c>
      <c r="N28" s="56"/>
      <c r="O28" s="56"/>
    </row>
    <row r="29" spans="2:17" ht="15.5" x14ac:dyDescent="0.35">
      <c r="B29" s="46" t="s">
        <v>195</v>
      </c>
      <c r="C29" s="67">
        <f>(((C$31/2)/(C$17+C$18*2))*C17)+(((C$31/2)/(C$15+C$16))*C15)</f>
        <v>82550.537360329967</v>
      </c>
      <c r="D29" s="67">
        <f t="shared" ref="C29:M29" si="5">(((D$31/2)/(D$17+D$18*2))*(D18*2))+(((D$31/2)/(D$15+D$16))*D16)</f>
        <v>102385.15934560967</v>
      </c>
      <c r="E29" s="67">
        <f t="shared" si="5"/>
        <v>62512.586637425149</v>
      </c>
      <c r="F29" s="67">
        <f t="shared" si="5"/>
        <v>106468.76007272727</v>
      </c>
      <c r="G29" s="67">
        <f t="shared" si="5"/>
        <v>81264.187641633733</v>
      </c>
      <c r="H29" s="67">
        <f t="shared" si="5"/>
        <v>97043.742767991003</v>
      </c>
      <c r="I29" s="67">
        <f t="shared" si="5"/>
        <v>83006.3514605042</v>
      </c>
      <c r="J29" s="67">
        <f t="shared" si="5"/>
        <v>105238.47049316695</v>
      </c>
      <c r="K29" s="67">
        <f t="shared" si="5"/>
        <v>90374.272444444417</v>
      </c>
      <c r="L29" s="67">
        <f t="shared" si="5"/>
        <v>101606.02974358975</v>
      </c>
      <c r="M29" s="67">
        <f t="shared" si="5"/>
        <v>122732.29522123747</v>
      </c>
      <c r="N29" s="56"/>
      <c r="O29" s="56"/>
    </row>
    <row r="30" spans="2:17" ht="15.5" x14ac:dyDescent="0.35">
      <c r="B30" s="46"/>
      <c r="C30" s="64"/>
      <c r="D30" s="23"/>
      <c r="E30" s="53"/>
      <c r="F30" s="53"/>
      <c r="G30" s="53"/>
      <c r="H30" s="53"/>
      <c r="I30" s="53"/>
      <c r="J30" s="53"/>
      <c r="K30" s="53"/>
      <c r="L30" s="53"/>
    </row>
    <row r="31" spans="2:17" ht="15.5" x14ac:dyDescent="0.35">
      <c r="B31" s="46" t="s">
        <v>196</v>
      </c>
      <c r="C31" s="56">
        <f>SUM(C21:C27)</f>
        <v>166916.06</v>
      </c>
      <c r="D31" s="56">
        <f t="shared" ref="C31:M31" si="6">SUM(D21:D27)</f>
        <v>170017.38680000001</v>
      </c>
      <c r="E31" s="56">
        <f t="shared" si="6"/>
        <v>171492.43479999999</v>
      </c>
      <c r="F31" s="56">
        <f t="shared" si="6"/>
        <v>176378.96999999997</v>
      </c>
      <c r="G31" s="56">
        <f t="shared" si="6"/>
        <v>170385.41</v>
      </c>
      <c r="H31" s="56">
        <f>SUM(H21:H27)</f>
        <v>172608.47047</v>
      </c>
      <c r="I31" s="56">
        <f t="shared" si="6"/>
        <v>172000.72329999998</v>
      </c>
      <c r="J31" s="56">
        <f t="shared" si="6"/>
        <v>166098.47999999998</v>
      </c>
      <c r="K31" s="56">
        <f t="shared" si="6"/>
        <v>171554.13999999996</v>
      </c>
      <c r="L31" s="56">
        <f t="shared" si="6"/>
        <v>180119.78000000003</v>
      </c>
      <c r="M31" s="56">
        <f t="shared" si="6"/>
        <v>188916.11980000001</v>
      </c>
      <c r="N31" s="56"/>
      <c r="O31" s="56"/>
    </row>
    <row r="33" spans="2:7" ht="15.75" customHeight="1" x14ac:dyDescent="0.3">
      <c r="B33" s="57" t="s">
        <v>160</v>
      </c>
      <c r="C33" s="57" t="s">
        <v>2</v>
      </c>
      <c r="D33" s="57" t="s">
        <v>0</v>
      </c>
      <c r="E33" s="57" t="s">
        <v>196</v>
      </c>
    </row>
    <row r="34" spans="2:7" ht="15.75" customHeight="1" x14ac:dyDescent="0.25">
      <c r="B34" s="21" t="s">
        <v>10</v>
      </c>
      <c r="C34" s="58" t="s">
        <v>25</v>
      </c>
      <c r="D34" s="21" t="s">
        <v>23</v>
      </c>
      <c r="E34" s="22">
        <v>32320.644366197201</v>
      </c>
      <c r="F34" s="22"/>
      <c r="G34" s="64"/>
    </row>
    <row r="35" spans="2:7" ht="15.75" customHeight="1" x14ac:dyDescent="0.25">
      <c r="B35" s="21" t="s">
        <v>10</v>
      </c>
      <c r="C35" s="58" t="s">
        <v>25</v>
      </c>
      <c r="D35" s="21" t="s">
        <v>29</v>
      </c>
      <c r="E35" s="22">
        <v>61504.94063380282</v>
      </c>
      <c r="F35" s="22"/>
    </row>
    <row r="36" spans="2:7" ht="15.75" customHeight="1" x14ac:dyDescent="0.25">
      <c r="B36" s="21" t="s">
        <v>9</v>
      </c>
      <c r="C36" s="58" t="s">
        <v>25</v>
      </c>
      <c r="D36" s="21" t="s">
        <v>23</v>
      </c>
      <c r="E36" s="22">
        <v>91803.105452335105</v>
      </c>
      <c r="F36" s="22"/>
    </row>
    <row r="37" spans="2:7" ht="15.75" customHeight="1" x14ac:dyDescent="0.25">
      <c r="B37" t="s">
        <v>9</v>
      </c>
      <c r="C37" s="58" t="s">
        <v>25</v>
      </c>
      <c r="D37" s="21" t="s">
        <v>29</v>
      </c>
      <c r="E37" s="22">
        <v>72009.578747664928</v>
      </c>
      <c r="F37" s="22"/>
    </row>
    <row r="38" spans="2:7" ht="15.5" x14ac:dyDescent="0.35">
      <c r="B38" s="46" t="s">
        <v>197</v>
      </c>
      <c r="C38" s="58" t="s">
        <v>25</v>
      </c>
      <c r="D38" s="21" t="s">
        <v>23</v>
      </c>
      <c r="E38" s="21">
        <v>46.5</v>
      </c>
    </row>
    <row r="39" spans="2:7" ht="15.5" x14ac:dyDescent="0.35">
      <c r="B39" s="46" t="s">
        <v>197</v>
      </c>
      <c r="C39" s="58" t="s">
        <v>25</v>
      </c>
      <c r="D39" s="21" t="s">
        <v>29</v>
      </c>
      <c r="E39" s="21">
        <v>60</v>
      </c>
    </row>
    <row r="40" spans="2:7" ht="15.75" customHeight="1" x14ac:dyDescent="0.25">
      <c r="B40" s="21" t="s">
        <v>10</v>
      </c>
      <c r="C40" s="58" t="s">
        <v>27</v>
      </c>
      <c r="D40" s="21" t="s">
        <v>23</v>
      </c>
      <c r="E40" s="22">
        <v>31926.631023622045</v>
      </c>
      <c r="F40" s="22"/>
    </row>
    <row r="41" spans="2:7" ht="15.75" customHeight="1" x14ac:dyDescent="0.25">
      <c r="B41" s="21" t="s">
        <v>10</v>
      </c>
      <c r="C41" s="58" t="s">
        <v>27</v>
      </c>
      <c r="D41" s="21" t="s">
        <v>29</v>
      </c>
      <c r="E41" s="22">
        <v>62529.888976377959</v>
      </c>
      <c r="F41" s="22"/>
    </row>
    <row r="42" spans="2:7" ht="15.75" customHeight="1" x14ac:dyDescent="0.25">
      <c r="B42" s="21" t="s">
        <v>9</v>
      </c>
      <c r="C42" s="21" t="s">
        <v>27</v>
      </c>
      <c r="D42" s="21" t="s">
        <v>23</v>
      </c>
      <c r="E42" s="22">
        <v>82425.788743907018</v>
      </c>
      <c r="F42" s="22"/>
    </row>
    <row r="43" spans="2:7" ht="15.75" customHeight="1" x14ac:dyDescent="0.25">
      <c r="B43" t="s">
        <v>9</v>
      </c>
      <c r="C43" s="21" t="s">
        <v>27</v>
      </c>
      <c r="D43" s="21" t="s">
        <v>29</v>
      </c>
      <c r="E43" s="22">
        <v>84238.031256093003</v>
      </c>
      <c r="F43" s="22"/>
    </row>
    <row r="44" spans="2:7" ht="15.5" x14ac:dyDescent="0.35">
      <c r="B44" s="46" t="s">
        <v>197</v>
      </c>
      <c r="C44" s="21" t="s">
        <v>27</v>
      </c>
      <c r="D44" s="21" t="s">
        <v>23</v>
      </c>
      <c r="E44" s="21">
        <v>47</v>
      </c>
    </row>
    <row r="45" spans="2:7" ht="15.5" x14ac:dyDescent="0.35">
      <c r="B45" s="46" t="s">
        <v>197</v>
      </c>
      <c r="C45" s="21" t="s">
        <v>27</v>
      </c>
      <c r="D45" s="21" t="s">
        <v>29</v>
      </c>
      <c r="E45" s="21">
        <v>80</v>
      </c>
    </row>
    <row r="46" spans="2:7" ht="15.75" customHeight="1" x14ac:dyDescent="0.25">
      <c r="B46" s="21" t="s">
        <v>10</v>
      </c>
      <c r="C46" s="58" t="s">
        <v>37</v>
      </c>
      <c r="D46" s="21" t="s">
        <v>23</v>
      </c>
      <c r="E46" s="22">
        <v>30324.84488188976</v>
      </c>
      <c r="F46" s="22"/>
    </row>
    <row r="47" spans="2:7" ht="15.75" customHeight="1" x14ac:dyDescent="0.25">
      <c r="B47" s="21" t="s">
        <v>10</v>
      </c>
      <c r="C47" s="58" t="s">
        <v>37</v>
      </c>
      <c r="D47" s="21" t="s">
        <v>29</v>
      </c>
      <c r="E47" s="22">
        <v>67188.575118110195</v>
      </c>
      <c r="F47" s="22"/>
    </row>
    <row r="48" spans="2:7" ht="15.75" customHeight="1" x14ac:dyDescent="0.25">
      <c r="B48" s="21" t="s">
        <v>9</v>
      </c>
      <c r="C48" s="21" t="s">
        <v>37</v>
      </c>
      <c r="D48" s="21" t="s">
        <v>23</v>
      </c>
      <c r="E48" s="22">
        <v>82550.537360329967</v>
      </c>
      <c r="F48" s="22"/>
    </row>
    <row r="49" spans="2:6" ht="15.75" customHeight="1" x14ac:dyDescent="0.25">
      <c r="B49" t="s">
        <v>9</v>
      </c>
      <c r="C49" s="21" t="s">
        <v>37</v>
      </c>
      <c r="D49" s="21" t="s">
        <v>29</v>
      </c>
      <c r="E49" s="22">
        <v>84365.522639670045</v>
      </c>
      <c r="F49" s="22"/>
    </row>
    <row r="50" spans="2:6" ht="15.5" x14ac:dyDescent="0.35">
      <c r="B50" s="46" t="s">
        <v>197</v>
      </c>
      <c r="C50" s="21" t="s">
        <v>37</v>
      </c>
      <c r="D50" s="21" t="s">
        <v>23</v>
      </c>
      <c r="E50" s="21">
        <v>47</v>
      </c>
    </row>
    <row r="51" spans="2:6" ht="15.5" x14ac:dyDescent="0.35">
      <c r="B51" s="46" t="s">
        <v>197</v>
      </c>
      <c r="C51" s="21" t="s">
        <v>37</v>
      </c>
      <c r="D51" s="21" t="s">
        <v>29</v>
      </c>
      <c r="E51" s="21">
        <v>80</v>
      </c>
    </row>
    <row r="52" spans="2:6" ht="15.75" customHeight="1" x14ac:dyDescent="0.25">
      <c r="B52" s="21" t="s">
        <v>10</v>
      </c>
      <c r="C52" s="21" t="s">
        <v>198</v>
      </c>
      <c r="D52" s="21" t="s">
        <v>23</v>
      </c>
      <c r="E52" s="22">
        <f>D6+D12</f>
        <v>29745.33649484536</v>
      </c>
    </row>
    <row r="53" spans="2:6" ht="15.75" customHeight="1" x14ac:dyDescent="0.25">
      <c r="B53" s="21" t="s">
        <v>10</v>
      </c>
      <c r="C53" s="21" t="s">
        <v>198</v>
      </c>
      <c r="D53" s="21" t="s">
        <v>29</v>
      </c>
      <c r="E53" s="22">
        <f>D10+D13</f>
        <v>73278.263505154639</v>
      </c>
    </row>
    <row r="54" spans="2:6" ht="15.75" customHeight="1" x14ac:dyDescent="0.25">
      <c r="B54" s="21" t="s">
        <v>9</v>
      </c>
      <c r="C54" s="21" t="s">
        <v>198</v>
      </c>
      <c r="D54" s="21" t="s">
        <v>23</v>
      </c>
      <c r="E54" s="22">
        <f>D28</f>
        <v>67632.227454390333</v>
      </c>
    </row>
    <row r="55" spans="2:6" ht="15.75" customHeight="1" x14ac:dyDescent="0.25">
      <c r="B55" t="s">
        <v>9</v>
      </c>
      <c r="C55" s="21" t="s">
        <v>198</v>
      </c>
      <c r="D55" s="21" t="s">
        <v>29</v>
      </c>
      <c r="E55" s="22">
        <f t="shared" ref="E54:E55" si="7">D29</f>
        <v>102385.15934560967</v>
      </c>
    </row>
    <row r="56" spans="2:6" ht="15.5" x14ac:dyDescent="0.35">
      <c r="B56" s="46" t="s">
        <v>197</v>
      </c>
      <c r="C56" s="21" t="s">
        <v>198</v>
      </c>
      <c r="D56" s="21" t="s">
        <v>23</v>
      </c>
      <c r="E56" s="21">
        <f t="shared" ref="E56:E57" si="8">D15</f>
        <v>54</v>
      </c>
    </row>
    <row r="57" spans="2:6" ht="15.5" x14ac:dyDescent="0.35">
      <c r="B57" s="46" t="s">
        <v>197</v>
      </c>
      <c r="C57" s="21" t="s">
        <v>198</v>
      </c>
      <c r="D57" s="21" t="s">
        <v>29</v>
      </c>
      <c r="E57" s="21">
        <f t="shared" si="8"/>
        <v>140</v>
      </c>
    </row>
    <row r="58" spans="2:6" ht="12.5" x14ac:dyDescent="0.25">
      <c r="B58" s="21" t="s">
        <v>10</v>
      </c>
      <c r="C58" s="21" t="s">
        <v>199</v>
      </c>
      <c r="D58" s="21" t="s">
        <v>23</v>
      </c>
      <c r="E58" s="22">
        <f>E6+E12</f>
        <v>32139.523173652698</v>
      </c>
    </row>
    <row r="59" spans="2:6" ht="12.5" x14ac:dyDescent="0.25">
      <c r="B59" s="21" t="s">
        <v>10</v>
      </c>
      <c r="C59" s="21" t="s">
        <v>199</v>
      </c>
      <c r="D59" s="21" t="s">
        <v>29</v>
      </c>
      <c r="E59" s="22">
        <f>E10+E13</f>
        <v>57349.796826347309</v>
      </c>
    </row>
    <row r="60" spans="2:6" ht="12.5" x14ac:dyDescent="0.25">
      <c r="B60" s="21" t="s">
        <v>9</v>
      </c>
      <c r="C60" s="21" t="s">
        <v>199</v>
      </c>
      <c r="D60" s="21" t="s">
        <v>23</v>
      </c>
      <c r="E60" s="22">
        <f t="shared" ref="E60:E61" si="9">E28</f>
        <v>108979.84816257484</v>
      </c>
    </row>
    <row r="61" spans="2:6" ht="12.5" x14ac:dyDescent="0.25">
      <c r="B61" t="s">
        <v>9</v>
      </c>
      <c r="C61" s="21" t="s">
        <v>199</v>
      </c>
      <c r="D61" s="21" t="s">
        <v>29</v>
      </c>
      <c r="E61" s="22">
        <f t="shared" si="9"/>
        <v>62512.586637425149</v>
      </c>
    </row>
    <row r="62" spans="2:6" ht="15.5" x14ac:dyDescent="0.35">
      <c r="B62" s="46" t="s">
        <v>197</v>
      </c>
      <c r="C62" s="21" t="s">
        <v>199</v>
      </c>
      <c r="D62" s="21" t="s">
        <v>23</v>
      </c>
      <c r="E62" s="21">
        <f t="shared" ref="E62:E63" si="10">E15</f>
        <v>43.5</v>
      </c>
    </row>
    <row r="63" spans="2:6" ht="15.5" x14ac:dyDescent="0.35">
      <c r="B63" s="46" t="s">
        <v>197</v>
      </c>
      <c r="C63" s="21" t="s">
        <v>199</v>
      </c>
      <c r="D63" s="21" t="s">
        <v>29</v>
      </c>
      <c r="E63" s="21">
        <f t="shared" si="10"/>
        <v>40</v>
      </c>
    </row>
    <row r="64" spans="2:6" ht="12.5" x14ac:dyDescent="0.25">
      <c r="B64" s="21" t="s">
        <v>10</v>
      </c>
      <c r="C64" s="21" t="s">
        <v>200</v>
      </c>
      <c r="D64" s="21" t="s">
        <v>23</v>
      </c>
      <c r="E64" s="22">
        <f>F6+F12</f>
        <v>30984.786363636365</v>
      </c>
    </row>
    <row r="65" spans="2:5" ht="12.5" x14ac:dyDescent="0.25">
      <c r="B65" s="21" t="s">
        <v>10</v>
      </c>
      <c r="C65" s="21" t="s">
        <v>200</v>
      </c>
      <c r="D65" s="21" t="s">
        <v>29</v>
      </c>
      <c r="E65" s="22">
        <f>F10+F13</f>
        <v>72172.903636363641</v>
      </c>
    </row>
    <row r="66" spans="2:5" ht="12.5" x14ac:dyDescent="0.25">
      <c r="B66" s="21" t="s">
        <v>9</v>
      </c>
      <c r="C66" s="21" t="s">
        <v>200</v>
      </c>
      <c r="D66" s="21" t="s">
        <v>23</v>
      </c>
      <c r="E66" s="22">
        <f t="shared" ref="E66:E67" si="11">F28</f>
        <v>69910.209927272721</v>
      </c>
    </row>
    <row r="67" spans="2:5" ht="12.5" x14ac:dyDescent="0.25">
      <c r="B67" t="s">
        <v>9</v>
      </c>
      <c r="C67" s="21" t="s">
        <v>200</v>
      </c>
      <c r="D67" s="21" t="s">
        <v>29</v>
      </c>
      <c r="E67" s="22">
        <f t="shared" si="11"/>
        <v>106468.76007272727</v>
      </c>
    </row>
    <row r="68" spans="2:5" ht="15.5" x14ac:dyDescent="0.35">
      <c r="B68" s="46" t="s">
        <v>197</v>
      </c>
      <c r="C68" s="21" t="s">
        <v>200</v>
      </c>
      <c r="D68" s="21" t="s">
        <v>23</v>
      </c>
      <c r="E68" s="21">
        <f t="shared" ref="E68:E69" si="12">F15</f>
        <v>45</v>
      </c>
    </row>
    <row r="69" spans="2:5" ht="15.5" x14ac:dyDescent="0.35">
      <c r="B69" s="46" t="s">
        <v>197</v>
      </c>
      <c r="C69" s="21" t="s">
        <v>200</v>
      </c>
      <c r="D69" s="21" t="s">
        <v>29</v>
      </c>
      <c r="E69" s="21">
        <f t="shared" si="12"/>
        <v>120</v>
      </c>
    </row>
    <row r="70" spans="2:5" ht="12.5" x14ac:dyDescent="0.25">
      <c r="B70" s="21" t="s">
        <v>10</v>
      </c>
      <c r="C70" s="21" t="s">
        <v>201</v>
      </c>
      <c r="D70" s="21" t="s">
        <v>23</v>
      </c>
      <c r="E70" s="22">
        <f>G6+G12</f>
        <v>27110.616363636364</v>
      </c>
    </row>
    <row r="71" spans="2:5" ht="12.5" x14ac:dyDescent="0.25">
      <c r="B71" s="21" t="s">
        <v>10</v>
      </c>
      <c r="C71" s="21" t="s">
        <v>201</v>
      </c>
      <c r="D71" s="21" t="s">
        <v>29</v>
      </c>
      <c r="E71" s="22">
        <f>G10+G13</f>
        <v>63559.743636363637</v>
      </c>
    </row>
    <row r="72" spans="2:5" ht="12.5" x14ac:dyDescent="0.25">
      <c r="B72" s="21" t="s">
        <v>9</v>
      </c>
      <c r="C72" s="21" t="s">
        <v>201</v>
      </c>
      <c r="D72" s="21" t="s">
        <v>23</v>
      </c>
      <c r="E72" s="22">
        <f t="shared" ref="E72:E73" si="13">G28</f>
        <v>89121.222358366271</v>
      </c>
    </row>
    <row r="73" spans="2:5" ht="12.5" x14ac:dyDescent="0.25">
      <c r="B73" t="s">
        <v>9</v>
      </c>
      <c r="C73" s="21" t="s">
        <v>201</v>
      </c>
      <c r="D73" s="21" t="s">
        <v>29</v>
      </c>
      <c r="E73" s="22">
        <f t="shared" si="13"/>
        <v>81264.187641633733</v>
      </c>
    </row>
    <row r="74" spans="2:5" ht="15.5" x14ac:dyDescent="0.35">
      <c r="B74" s="46" t="s">
        <v>197</v>
      </c>
      <c r="C74" s="21" t="s">
        <v>201</v>
      </c>
      <c r="D74" s="21" t="s">
        <v>23</v>
      </c>
      <c r="E74" s="21">
        <f t="shared" ref="E74:E75" si="14">G15</f>
        <v>52</v>
      </c>
    </row>
    <row r="75" spans="2:5" ht="15.5" x14ac:dyDescent="0.35">
      <c r="B75" s="46" t="s">
        <v>197</v>
      </c>
      <c r="C75" s="21" t="s">
        <v>201</v>
      </c>
      <c r="D75" s="21" t="s">
        <v>29</v>
      </c>
      <c r="E75" s="21">
        <f t="shared" si="14"/>
        <v>80</v>
      </c>
    </row>
    <row r="76" spans="2:5" ht="12.5" x14ac:dyDescent="0.25">
      <c r="B76" s="21" t="s">
        <v>10</v>
      </c>
      <c r="C76" s="21" t="s">
        <v>202</v>
      </c>
      <c r="D76" s="21" t="s">
        <v>23</v>
      </c>
      <c r="E76" s="22">
        <f>H6+H12</f>
        <v>27236.370344827588</v>
      </c>
    </row>
    <row r="77" spans="2:5" ht="12.5" x14ac:dyDescent="0.25">
      <c r="B77" s="21" t="s">
        <v>10</v>
      </c>
      <c r="C77" s="21" t="s">
        <v>202</v>
      </c>
      <c r="D77" s="21" t="s">
        <v>29</v>
      </c>
      <c r="E77" s="22">
        <f>H10+H13</f>
        <v>67169.419655172416</v>
      </c>
    </row>
    <row r="78" spans="2:5" ht="12.5" x14ac:dyDescent="0.25">
      <c r="B78" s="21" t="s">
        <v>9</v>
      </c>
      <c r="C78" s="21" t="s">
        <v>202</v>
      </c>
      <c r="D78" s="21" t="s">
        <v>23</v>
      </c>
      <c r="E78" s="22">
        <f t="shared" ref="E78:E79" si="15">H28</f>
        <v>75564.727702008997</v>
      </c>
    </row>
    <row r="79" spans="2:5" ht="12.5" x14ac:dyDescent="0.25">
      <c r="B79" t="s">
        <v>9</v>
      </c>
      <c r="C79" s="21" t="s">
        <v>202</v>
      </c>
      <c r="D79" s="21" t="s">
        <v>29</v>
      </c>
      <c r="E79" s="22">
        <f t="shared" si="15"/>
        <v>97043.742767991003</v>
      </c>
    </row>
    <row r="80" spans="2:5" ht="15.5" x14ac:dyDescent="0.35">
      <c r="B80" s="46" t="s">
        <v>197</v>
      </c>
      <c r="C80" s="21" t="s">
        <v>202</v>
      </c>
      <c r="D80" s="21" t="s">
        <v>23</v>
      </c>
      <c r="E80" s="21">
        <f t="shared" ref="E80:E81" si="16">H15</f>
        <v>45</v>
      </c>
    </row>
    <row r="81" spans="2:5" ht="15.5" x14ac:dyDescent="0.35">
      <c r="B81" s="46" t="s">
        <v>197</v>
      </c>
      <c r="C81" s="21" t="s">
        <v>202</v>
      </c>
      <c r="D81" s="21" t="s">
        <v>29</v>
      </c>
      <c r="E81" s="21">
        <f t="shared" si="16"/>
        <v>100</v>
      </c>
    </row>
    <row r="82" spans="2:5" ht="12.5" x14ac:dyDescent="0.25">
      <c r="B82" s="21" t="s">
        <v>10</v>
      </c>
      <c r="C82" s="21" t="s">
        <v>203</v>
      </c>
      <c r="D82" s="21" t="s">
        <v>23</v>
      </c>
      <c r="E82" s="22">
        <f>I6+I12</f>
        <v>36258.216530612241</v>
      </c>
    </row>
    <row r="83" spans="2:5" ht="12.5" x14ac:dyDescent="0.25">
      <c r="B83" s="21" t="s">
        <v>10</v>
      </c>
      <c r="C83" s="21" t="s">
        <v>203</v>
      </c>
      <c r="D83" s="21" t="s">
        <v>29</v>
      </c>
      <c r="E83" s="22">
        <f>I10+I13</f>
        <v>78171.20346938775</v>
      </c>
    </row>
    <row r="84" spans="2:5" ht="12.5" x14ac:dyDescent="0.25">
      <c r="B84" s="21" t="s">
        <v>9</v>
      </c>
      <c r="C84" s="21" t="s">
        <v>203</v>
      </c>
      <c r="D84" s="21" t="s">
        <v>23</v>
      </c>
      <c r="E84" s="22">
        <f t="shared" ref="E84:E85" si="17">I28</f>
        <v>88994.371839495783</v>
      </c>
    </row>
    <row r="85" spans="2:5" ht="12.5" x14ac:dyDescent="0.25">
      <c r="B85" t="s">
        <v>9</v>
      </c>
      <c r="C85" s="21" t="s">
        <v>203</v>
      </c>
      <c r="D85" s="21" t="s">
        <v>29</v>
      </c>
      <c r="E85" s="22">
        <f t="shared" si="17"/>
        <v>83006.3514605042</v>
      </c>
    </row>
    <row r="86" spans="2:5" ht="15.5" x14ac:dyDescent="0.35">
      <c r="B86" s="46" t="s">
        <v>197</v>
      </c>
      <c r="C86" s="21" t="s">
        <v>203</v>
      </c>
      <c r="D86" s="21" t="s">
        <v>23</v>
      </c>
      <c r="E86" s="21">
        <f t="shared" ref="E86:E87" si="18">I15</f>
        <v>38</v>
      </c>
    </row>
    <row r="87" spans="2:5" ht="15.5" x14ac:dyDescent="0.35">
      <c r="B87" s="46" t="s">
        <v>197</v>
      </c>
      <c r="C87" s="21" t="s">
        <v>203</v>
      </c>
      <c r="D87" s="21" t="s">
        <v>29</v>
      </c>
      <c r="E87" s="21">
        <f t="shared" si="18"/>
        <v>60</v>
      </c>
    </row>
    <row r="88" spans="2:5" ht="12.5" x14ac:dyDescent="0.25">
      <c r="B88" s="21" t="s">
        <v>10</v>
      </c>
      <c r="C88" s="21" t="s">
        <v>204</v>
      </c>
      <c r="D88" s="21" t="s">
        <v>23</v>
      </c>
      <c r="E88" s="22">
        <f>J6+J12</f>
        <v>32543.636149732622</v>
      </c>
    </row>
    <row r="89" spans="2:5" ht="12.5" x14ac:dyDescent="0.25">
      <c r="B89" s="21" t="s">
        <v>10</v>
      </c>
      <c r="C89" s="21" t="s">
        <v>204</v>
      </c>
      <c r="D89" s="21" t="s">
        <v>29</v>
      </c>
      <c r="E89" s="22">
        <f>J10+J13</f>
        <v>96637.703850267382</v>
      </c>
    </row>
    <row r="90" spans="2:5" ht="12.5" x14ac:dyDescent="0.25">
      <c r="B90" s="21" t="s">
        <v>9</v>
      </c>
      <c r="C90" s="21" t="s">
        <v>204</v>
      </c>
      <c r="D90" s="21" t="s">
        <v>23</v>
      </c>
      <c r="E90" s="22">
        <f t="shared" ref="E90:E91" si="19">J28</f>
        <v>60860.009506833027</v>
      </c>
    </row>
    <row r="91" spans="2:5" ht="12.5" x14ac:dyDescent="0.25">
      <c r="B91" t="s">
        <v>9</v>
      </c>
      <c r="C91" s="21" t="s">
        <v>204</v>
      </c>
      <c r="D91" s="21" t="s">
        <v>29</v>
      </c>
      <c r="E91" s="22">
        <f t="shared" si="19"/>
        <v>105238.47049316695</v>
      </c>
    </row>
    <row r="92" spans="2:5" ht="15.5" x14ac:dyDescent="0.35">
      <c r="B92" s="46" t="s">
        <v>197</v>
      </c>
      <c r="C92" s="21" t="s">
        <v>204</v>
      </c>
      <c r="D92" s="21" t="s">
        <v>23</v>
      </c>
      <c r="E92" s="21">
        <f t="shared" ref="E92:E93" si="20">J15</f>
        <v>47</v>
      </c>
    </row>
    <row r="93" spans="2:5" ht="15.5" x14ac:dyDescent="0.35">
      <c r="B93" s="46" t="s">
        <v>197</v>
      </c>
      <c r="C93" s="21" t="s">
        <v>204</v>
      </c>
      <c r="D93" s="21" t="s">
        <v>29</v>
      </c>
      <c r="E93" s="21">
        <f t="shared" si="20"/>
        <v>140</v>
      </c>
    </row>
    <row r="94" spans="2:5" ht="12.5" x14ac:dyDescent="0.25">
      <c r="B94" s="21" t="s">
        <v>10</v>
      </c>
      <c r="C94" s="21" t="s">
        <v>205</v>
      </c>
      <c r="D94" s="21" t="s">
        <v>23</v>
      </c>
      <c r="E94" s="22">
        <f>K6+K12</f>
        <v>33587.222745098043</v>
      </c>
    </row>
    <row r="95" spans="2:5" ht="12.5" x14ac:dyDescent="0.25">
      <c r="B95" s="21" t="s">
        <v>10</v>
      </c>
      <c r="C95" s="21" t="s">
        <v>205</v>
      </c>
      <c r="D95" s="21" t="s">
        <v>29</v>
      </c>
      <c r="E95" s="22">
        <f>K10+K13</f>
        <v>86291.447254901956</v>
      </c>
    </row>
    <row r="96" spans="2:5" ht="12.5" x14ac:dyDescent="0.25">
      <c r="B96" s="21" t="s">
        <v>9</v>
      </c>
      <c r="C96" s="21" t="s">
        <v>205</v>
      </c>
      <c r="D96" s="21" t="s">
        <v>23</v>
      </c>
      <c r="E96" s="22">
        <f t="shared" ref="E96:E97" si="21">K28</f>
        <v>81179.867555555538</v>
      </c>
    </row>
    <row r="97" spans="2:5" ht="12.5" x14ac:dyDescent="0.25">
      <c r="B97" t="s">
        <v>9</v>
      </c>
      <c r="C97" s="21" t="s">
        <v>205</v>
      </c>
      <c r="D97" s="21" t="s">
        <v>29</v>
      </c>
      <c r="E97" s="22">
        <f t="shared" si="21"/>
        <v>90374.272444444417</v>
      </c>
    </row>
    <row r="98" spans="2:5" ht="15.5" x14ac:dyDescent="0.35">
      <c r="B98" s="46" t="s">
        <v>197</v>
      </c>
      <c r="C98" s="21" t="s">
        <v>205</v>
      </c>
      <c r="D98" s="21" t="s">
        <v>23</v>
      </c>
      <c r="E98" s="21">
        <f t="shared" ref="E98:E99" si="22">K15</f>
        <v>53</v>
      </c>
    </row>
    <row r="99" spans="2:5" ht="15.5" x14ac:dyDescent="0.35">
      <c r="B99" s="46" t="s">
        <v>197</v>
      </c>
      <c r="C99" s="21" t="s">
        <v>205</v>
      </c>
      <c r="D99" s="21" t="s">
        <v>29</v>
      </c>
      <c r="E99" s="21">
        <f t="shared" si="22"/>
        <v>100</v>
      </c>
    </row>
    <row r="100" spans="2:5" ht="12.5" x14ac:dyDescent="0.25">
      <c r="B100" s="21" t="s">
        <v>10</v>
      </c>
      <c r="C100" s="21" t="s">
        <v>206</v>
      </c>
      <c r="D100" s="21" t="s">
        <v>23</v>
      </c>
      <c r="E100" s="22">
        <f>L6+L12</f>
        <v>32424.931111111109</v>
      </c>
    </row>
    <row r="101" spans="2:5" ht="12.5" x14ac:dyDescent="0.25">
      <c r="B101" s="21" t="s">
        <v>10</v>
      </c>
      <c r="C101" s="21" t="s">
        <v>206</v>
      </c>
      <c r="D101" s="21" t="s">
        <v>29</v>
      </c>
      <c r="E101" s="22">
        <f>L10+L13</f>
        <v>88353.888888888891</v>
      </c>
    </row>
    <row r="102" spans="2:5" ht="12.5" x14ac:dyDescent="0.25">
      <c r="B102" s="21" t="s">
        <v>9</v>
      </c>
      <c r="C102" s="21" t="s">
        <v>206</v>
      </c>
      <c r="D102" s="21" t="s">
        <v>23</v>
      </c>
      <c r="E102" s="22">
        <f t="shared" ref="E102:E103" si="23">L28</f>
        <v>78513.750256410276</v>
      </c>
    </row>
    <row r="103" spans="2:5" ht="12.5" x14ac:dyDescent="0.25">
      <c r="B103" t="s">
        <v>9</v>
      </c>
      <c r="C103" s="21" t="s">
        <v>206</v>
      </c>
      <c r="D103" s="21" t="s">
        <v>29</v>
      </c>
      <c r="E103" s="22">
        <f t="shared" si="23"/>
        <v>101606.02974358975</v>
      </c>
    </row>
    <row r="104" spans="2:5" ht="15.5" x14ac:dyDescent="0.35">
      <c r="B104" s="46" t="s">
        <v>197</v>
      </c>
      <c r="C104" s="21" t="s">
        <v>206</v>
      </c>
      <c r="D104" s="21" t="s">
        <v>23</v>
      </c>
      <c r="E104" s="21">
        <f t="shared" ref="E104:E105" si="24">L15</f>
        <v>37</v>
      </c>
    </row>
    <row r="105" spans="2:5" ht="15.5" x14ac:dyDescent="0.35">
      <c r="B105" s="46" t="s">
        <v>197</v>
      </c>
      <c r="C105" s="21" t="s">
        <v>206</v>
      </c>
      <c r="D105" s="21" t="s">
        <v>29</v>
      </c>
      <c r="E105" s="21">
        <f t="shared" si="24"/>
        <v>80</v>
      </c>
    </row>
    <row r="106" spans="2:5" ht="12.5" x14ac:dyDescent="0.25">
      <c r="B106" s="21" t="s">
        <v>10</v>
      </c>
      <c r="C106" s="21" t="s">
        <v>207</v>
      </c>
      <c r="D106" s="21" t="s">
        <v>23</v>
      </c>
      <c r="E106" s="22">
        <f>M6+M12</f>
        <v>30500.547173913044</v>
      </c>
    </row>
    <row r="107" spans="2:5" ht="12.5" x14ac:dyDescent="0.25">
      <c r="B107" s="21" t="s">
        <v>10</v>
      </c>
      <c r="C107" s="21" t="s">
        <v>207</v>
      </c>
      <c r="D107" s="21" t="s">
        <v>29</v>
      </c>
      <c r="E107" s="22">
        <f>M10+M13</f>
        <v>78792.102826086964</v>
      </c>
    </row>
    <row r="108" spans="2:5" ht="12.5" x14ac:dyDescent="0.25">
      <c r="B108" s="21" t="s">
        <v>9</v>
      </c>
      <c r="C108" s="21" t="s">
        <v>207</v>
      </c>
      <c r="D108" s="21" t="s">
        <v>23</v>
      </c>
      <c r="E108" s="22">
        <f t="shared" ref="E108:E109" si="25">M28</f>
        <v>66183.824578762549</v>
      </c>
    </row>
    <row r="109" spans="2:5" ht="12.5" x14ac:dyDescent="0.25">
      <c r="B109" t="s">
        <v>9</v>
      </c>
      <c r="C109" s="21" t="s">
        <v>207</v>
      </c>
      <c r="D109" s="21" t="s">
        <v>29</v>
      </c>
      <c r="E109" s="22">
        <f t="shared" si="25"/>
        <v>122732.29522123747</v>
      </c>
    </row>
    <row r="110" spans="2:5" ht="15.5" x14ac:dyDescent="0.35">
      <c r="B110" s="46" t="s">
        <v>197</v>
      </c>
      <c r="C110" s="21" t="s">
        <v>207</v>
      </c>
      <c r="D110" s="21" t="s">
        <v>23</v>
      </c>
      <c r="E110" s="21">
        <f t="shared" ref="E110:E111" si="26">M15</f>
        <v>44</v>
      </c>
    </row>
    <row r="111" spans="2:5" ht="15.5" x14ac:dyDescent="0.35">
      <c r="B111" s="46" t="s">
        <v>197</v>
      </c>
      <c r="C111" s="21" t="s">
        <v>207</v>
      </c>
      <c r="D111" s="21" t="s">
        <v>29</v>
      </c>
      <c r="E111" s="21">
        <f t="shared" si="26"/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55"/>
  <sheetViews>
    <sheetView workbookViewId="0">
      <pane xSplit="3" topLeftCell="I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>
        <v>996</v>
      </c>
      <c r="B2" s="2" t="s">
        <v>23</v>
      </c>
      <c r="C2" s="3" t="s">
        <v>24</v>
      </c>
      <c r="D2" s="4" t="s">
        <v>25</v>
      </c>
      <c r="E2" s="5">
        <v>45588</v>
      </c>
      <c r="F2" s="6">
        <v>45602</v>
      </c>
      <c r="G2" s="7">
        <v>8</v>
      </c>
      <c r="H2" s="7">
        <v>930</v>
      </c>
      <c r="I2" s="3">
        <v>20</v>
      </c>
      <c r="J2" s="8">
        <v>17912.5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15794.082658466255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5560.5409662274751</v>
      </c>
      <c r="M2" s="8">
        <f t="shared" ref="M2:M38" si="0">J2+K2+L2</f>
        <v>39267.123624693733</v>
      </c>
      <c r="N2" s="9">
        <f t="shared" ref="N2:N38" si="1">IF(H2&gt;0,M2/H2,"N/A")</f>
        <v>42.222713574939498</v>
      </c>
      <c r="O2" s="10">
        <v>20</v>
      </c>
      <c r="P2" s="3"/>
      <c r="Q2" s="3"/>
      <c r="R2" s="3"/>
      <c r="S2" s="8">
        <f t="shared" ref="S2:S38" si="2">IF(N2="N/A",0,(O2+P2+Q2+R2)*N2)</f>
        <v>844.45427149878992</v>
      </c>
      <c r="T2" s="7">
        <f t="shared" ref="T2:T38" si="3">IF(I2=0,H2-O2-P2-Q2-R2,I2-O2-P2-Q2-R2)</f>
        <v>0</v>
      </c>
      <c r="U2" s="3">
        <v>0</v>
      </c>
      <c r="V2" s="8">
        <f>IF(N2="N/A",0,((T2-U2)*N2)-W2)</f>
        <v>0</v>
      </c>
      <c r="W2" s="8"/>
      <c r="X2" s="11">
        <f t="shared" ref="X2:X38" si="4">IF(N2="N/A",0,U2*N2)</f>
        <v>0</v>
      </c>
    </row>
    <row r="3" spans="1:24" ht="15.5" x14ac:dyDescent="0.35">
      <c r="A3" s="1" t="s">
        <v>28</v>
      </c>
      <c r="B3" s="2" t="s">
        <v>29</v>
      </c>
      <c r="C3" s="3" t="s">
        <v>30</v>
      </c>
      <c r="D3" s="4" t="s">
        <v>27</v>
      </c>
      <c r="E3" s="5">
        <v>45603</v>
      </c>
      <c r="F3" s="6">
        <v>45636</v>
      </c>
      <c r="G3" s="7">
        <v>20</v>
      </c>
      <c r="H3" s="7">
        <v>2323</v>
      </c>
      <c r="I3" s="3">
        <v>563</v>
      </c>
      <c r="J3" s="8">
        <v>21635.31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21059.507814023251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15632.47224409449</v>
      </c>
      <c r="M3" s="8">
        <f t="shared" si="0"/>
        <v>58327.290058117738</v>
      </c>
      <c r="N3" s="9">
        <f t="shared" si="1"/>
        <v>25.108605276847928</v>
      </c>
      <c r="O3" s="10">
        <v>333</v>
      </c>
      <c r="P3" s="3">
        <v>120</v>
      </c>
      <c r="Q3" s="3"/>
      <c r="R3" s="3">
        <v>50</v>
      </c>
      <c r="S3" s="8">
        <f t="shared" si="2"/>
        <v>12629.628454254507</v>
      </c>
      <c r="T3" s="7">
        <f t="shared" si="3"/>
        <v>60</v>
      </c>
      <c r="U3" s="3">
        <v>0</v>
      </c>
      <c r="V3" s="8">
        <f t="shared" ref="V3:V38" si="5">IF(N3="N/A",0,((T3-U3)*N3)-W3)</f>
        <v>1506.5163166108757</v>
      </c>
      <c r="W3" s="8"/>
      <c r="X3" s="11">
        <f t="shared" si="4"/>
        <v>0</v>
      </c>
    </row>
    <row r="4" spans="1:24" ht="15.5" x14ac:dyDescent="0.35">
      <c r="A4" s="1">
        <v>1014</v>
      </c>
      <c r="B4" s="2" t="s">
        <v>23</v>
      </c>
      <c r="C4" s="3" t="s">
        <v>42</v>
      </c>
      <c r="D4" s="10" t="s">
        <v>37</v>
      </c>
      <c r="E4" s="5">
        <v>45644</v>
      </c>
      <c r="F4" s="6">
        <v>45667</v>
      </c>
      <c r="G4" s="7">
        <v>4</v>
      </c>
      <c r="H4" s="7">
        <v>412</v>
      </c>
      <c r="I4" s="7">
        <v>50</v>
      </c>
      <c r="J4" s="8">
        <v>6479.95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7025.5776476876572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2580.8378622884902</v>
      </c>
      <c r="M4" s="8">
        <f t="shared" si="0"/>
        <v>16086.365509976147</v>
      </c>
      <c r="N4" s="9">
        <f t="shared" si="1"/>
        <v>39.044576480524633</v>
      </c>
      <c r="O4" s="10">
        <v>52</v>
      </c>
      <c r="P4" s="3"/>
      <c r="Q4" s="3"/>
      <c r="R4" s="3"/>
      <c r="S4" s="8">
        <f t="shared" si="2"/>
        <v>2030.3179769872809</v>
      </c>
      <c r="T4" s="7">
        <f t="shared" si="3"/>
        <v>-2</v>
      </c>
      <c r="U4" s="3">
        <v>0</v>
      </c>
      <c r="V4" s="8">
        <f t="shared" si="5"/>
        <v>-78.089152961049265</v>
      </c>
      <c r="W4" s="8"/>
      <c r="X4" s="11">
        <f t="shared" si="4"/>
        <v>0</v>
      </c>
    </row>
    <row r="5" spans="1:24" ht="15.5" x14ac:dyDescent="0.35">
      <c r="A5" s="1" t="s">
        <v>46</v>
      </c>
      <c r="B5" s="2" t="s">
        <v>29</v>
      </c>
      <c r="C5" s="3" t="s">
        <v>47</v>
      </c>
      <c r="D5" s="10" t="s">
        <v>37</v>
      </c>
      <c r="E5" s="5">
        <v>45646</v>
      </c>
      <c r="F5" s="6">
        <v>45659</v>
      </c>
      <c r="G5" s="7">
        <v>20</v>
      </c>
      <c r="H5" s="7">
        <v>2407</v>
      </c>
      <c r="I5" s="7">
        <v>236</v>
      </c>
      <c r="J5" s="8">
        <v>30187.51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21091.380659917515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16797.143779527549</v>
      </c>
      <c r="M5" s="8">
        <f t="shared" si="0"/>
        <v>68076.034439445066</v>
      </c>
      <c r="N5" s="9">
        <f t="shared" si="1"/>
        <v>28.282523655772774</v>
      </c>
      <c r="O5" s="10">
        <v>36</v>
      </c>
      <c r="P5" s="3">
        <v>240</v>
      </c>
      <c r="Q5" s="3"/>
      <c r="R5" s="3">
        <v>20</v>
      </c>
      <c r="S5" s="8">
        <f t="shared" si="2"/>
        <v>8371.6270021087403</v>
      </c>
      <c r="T5" s="7">
        <f t="shared" si="3"/>
        <v>-60</v>
      </c>
      <c r="U5" s="3">
        <v>0</v>
      </c>
      <c r="V5" s="8">
        <f t="shared" si="5"/>
        <v>-1696.9514193463665</v>
      </c>
      <c r="W5" s="8"/>
      <c r="X5" s="11">
        <f t="shared" si="4"/>
        <v>0</v>
      </c>
    </row>
    <row r="6" spans="1:24" ht="15.5" x14ac:dyDescent="0.35">
      <c r="A6" s="1">
        <v>1018</v>
      </c>
      <c r="B6" s="2" t="s">
        <v>23</v>
      </c>
      <c r="C6" s="3" t="s">
        <v>48</v>
      </c>
      <c r="D6" s="10" t="s">
        <v>37</v>
      </c>
      <c r="E6" s="5">
        <v>45653</v>
      </c>
      <c r="F6" s="6">
        <v>45677</v>
      </c>
      <c r="G6" s="7">
        <v>8</v>
      </c>
      <c r="H6" s="7">
        <v>882</v>
      </c>
      <c r="I6" s="7">
        <v>642</v>
      </c>
      <c r="J6" s="8">
        <v>14571.75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14051.155295375314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5161.6757245769804</v>
      </c>
      <c r="M6" s="8">
        <f t="shared" si="0"/>
        <v>33784.581019952297</v>
      </c>
      <c r="N6" s="9">
        <f t="shared" si="1"/>
        <v>38.30451362806383</v>
      </c>
      <c r="O6" s="10">
        <v>448</v>
      </c>
      <c r="P6" s="3">
        <v>94</v>
      </c>
      <c r="Q6" s="3"/>
      <c r="R6" s="3">
        <v>40</v>
      </c>
      <c r="S6" s="8">
        <f t="shared" si="2"/>
        <v>22293.22693153315</v>
      </c>
      <c r="T6" s="7">
        <f t="shared" si="3"/>
        <v>60</v>
      </c>
      <c r="U6" s="3">
        <v>60</v>
      </c>
      <c r="V6" s="8">
        <f t="shared" si="5"/>
        <v>0</v>
      </c>
      <c r="W6" s="8"/>
      <c r="X6" s="11">
        <f t="shared" si="4"/>
        <v>2298.2708176838296</v>
      </c>
    </row>
    <row r="7" spans="1:24" ht="15.5" x14ac:dyDescent="0.35">
      <c r="A7" s="1">
        <v>1019</v>
      </c>
      <c r="B7" s="2" t="s">
        <v>23</v>
      </c>
      <c r="C7" s="3" t="s">
        <v>49</v>
      </c>
      <c r="D7" s="10" t="s">
        <v>37</v>
      </c>
      <c r="E7" s="5">
        <v>45656</v>
      </c>
      <c r="F7" s="6">
        <v>45678</v>
      </c>
      <c r="G7" s="7">
        <v>3</v>
      </c>
      <c r="H7" s="7">
        <v>325</v>
      </c>
      <c r="I7" s="7">
        <v>205</v>
      </c>
      <c r="J7" s="8">
        <v>10002.84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5269.1832357657431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1935.6283967163677</v>
      </c>
      <c r="M7" s="8">
        <f t="shared" si="0"/>
        <v>17207.651632482113</v>
      </c>
      <c r="N7" s="9">
        <f t="shared" si="1"/>
        <v>52.946620407637269</v>
      </c>
      <c r="O7" s="10">
        <v>160</v>
      </c>
      <c r="P7" s="3">
        <v>25</v>
      </c>
      <c r="Q7" s="3"/>
      <c r="R7" s="3">
        <v>20</v>
      </c>
      <c r="S7" s="8">
        <f t="shared" si="2"/>
        <v>10854.057183565641</v>
      </c>
      <c r="T7" s="7">
        <f t="shared" si="3"/>
        <v>0</v>
      </c>
      <c r="U7" s="3">
        <v>0</v>
      </c>
      <c r="V7" s="8">
        <f t="shared" si="5"/>
        <v>0</v>
      </c>
      <c r="W7" s="8"/>
      <c r="X7" s="11">
        <f t="shared" si="4"/>
        <v>0</v>
      </c>
    </row>
    <row r="8" spans="1:24" ht="15.5" x14ac:dyDescent="0.35">
      <c r="A8" s="1" t="s">
        <v>50</v>
      </c>
      <c r="B8" s="2" t="s">
        <v>29</v>
      </c>
      <c r="C8" s="3" t="s">
        <v>34</v>
      </c>
      <c r="D8" s="18" t="str">
        <f>IF(E8="","-",(TEXT(E8,"MMM")))</f>
        <v>ene</v>
      </c>
      <c r="E8" s="5">
        <v>45660</v>
      </c>
      <c r="F8" s="6">
        <v>45682</v>
      </c>
      <c r="G8" s="7">
        <v>40</v>
      </c>
      <c r="H8" s="7">
        <v>4526</v>
      </c>
      <c r="I8" s="7">
        <v>3523</v>
      </c>
      <c r="J8" s="8">
        <v>92019.16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29252.902670174193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20936.64671575847</v>
      </c>
      <c r="M8" s="8">
        <f t="shared" si="0"/>
        <v>142208.70938593266</v>
      </c>
      <c r="N8" s="9">
        <f t="shared" si="1"/>
        <v>31.420395357033286</v>
      </c>
      <c r="O8" s="10">
        <v>1701</v>
      </c>
      <c r="P8" s="3">
        <v>910</v>
      </c>
      <c r="Q8" s="3"/>
      <c r="R8" s="3">
        <v>910</v>
      </c>
      <c r="S8" s="8">
        <f t="shared" si="2"/>
        <v>110631.21205211421</v>
      </c>
      <c r="T8" s="7">
        <f t="shared" si="3"/>
        <v>2</v>
      </c>
      <c r="U8" s="3">
        <v>0</v>
      </c>
      <c r="V8" s="8">
        <f t="shared" si="5"/>
        <v>62.840790714066571</v>
      </c>
      <c r="W8" s="8"/>
      <c r="X8" s="11">
        <f t="shared" si="4"/>
        <v>0</v>
      </c>
    </row>
    <row r="9" spans="1:24" ht="15.5" x14ac:dyDescent="0.35">
      <c r="A9" s="1">
        <v>1020</v>
      </c>
      <c r="B9" s="2" t="s">
        <v>23</v>
      </c>
      <c r="C9" s="3" t="s">
        <v>24</v>
      </c>
      <c r="D9" s="18" t="str">
        <f t="shared" ref="D9:D38" si="6">IF(E9="","-",(TEXT(E9,"MMM")))</f>
        <v>ene</v>
      </c>
      <c r="E9" s="5">
        <v>45660</v>
      </c>
      <c r="F9" s="6">
        <v>45670</v>
      </c>
      <c r="G9" s="7">
        <v>8</v>
      </c>
      <c r="H9" s="7">
        <v>862</v>
      </c>
      <c r="I9" s="7">
        <v>302</v>
      </c>
      <c r="J9" s="8">
        <v>16545.11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10019.589252502272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4406.7165177548677</v>
      </c>
      <c r="M9" s="8">
        <f t="shared" si="0"/>
        <v>30971.415770257139</v>
      </c>
      <c r="N9" s="9">
        <f t="shared" si="1"/>
        <v>35.929716670831951</v>
      </c>
      <c r="O9" s="10">
        <v>218</v>
      </c>
      <c r="P9" s="3"/>
      <c r="Q9" s="3"/>
      <c r="R9" s="3">
        <v>80</v>
      </c>
      <c r="S9" s="8">
        <f t="shared" si="2"/>
        <v>10707.055567907921</v>
      </c>
      <c r="T9" s="7">
        <f t="shared" si="3"/>
        <v>4</v>
      </c>
      <c r="U9" s="3">
        <v>0</v>
      </c>
      <c r="V9" s="8">
        <f t="shared" si="5"/>
        <v>143.7188666833278</v>
      </c>
      <c r="W9" s="8"/>
      <c r="X9" s="11">
        <f t="shared" si="4"/>
        <v>0</v>
      </c>
    </row>
    <row r="10" spans="1:24" ht="15.5" x14ac:dyDescent="0.35">
      <c r="A10" s="1">
        <v>1021</v>
      </c>
      <c r="B10" s="2" t="s">
        <v>23</v>
      </c>
      <c r="C10" s="3" t="s">
        <v>32</v>
      </c>
      <c r="D10" s="18" t="str">
        <f t="shared" si="6"/>
        <v>ene</v>
      </c>
      <c r="E10" s="5">
        <v>45664</v>
      </c>
      <c r="F10" s="6">
        <v>45681</v>
      </c>
      <c r="G10" s="7">
        <v>3</v>
      </c>
      <c r="H10" s="7">
        <v>360</v>
      </c>
      <c r="I10" s="7">
        <v>300</v>
      </c>
      <c r="J10" s="8">
        <v>9634.4699999999993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3757.3459696883519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1652.5186941580755</v>
      </c>
      <c r="M10" s="8">
        <f t="shared" si="0"/>
        <v>15044.334663846428</v>
      </c>
      <c r="N10" s="9">
        <f t="shared" si="1"/>
        <v>41.789818510684526</v>
      </c>
      <c r="O10" s="10">
        <v>160</v>
      </c>
      <c r="P10" s="3">
        <v>120</v>
      </c>
      <c r="Q10" s="3"/>
      <c r="R10" s="3">
        <v>20</v>
      </c>
      <c r="S10" s="8">
        <f t="shared" si="2"/>
        <v>12536.945553205358</v>
      </c>
      <c r="T10" s="7">
        <f t="shared" si="3"/>
        <v>0</v>
      </c>
      <c r="U10" s="3">
        <v>0</v>
      </c>
      <c r="V10" s="8">
        <f t="shared" si="5"/>
        <v>0</v>
      </c>
      <c r="W10" s="8"/>
      <c r="X10" s="11">
        <f t="shared" si="4"/>
        <v>0</v>
      </c>
    </row>
    <row r="11" spans="1:24" ht="15.5" x14ac:dyDescent="0.35">
      <c r="A11" s="1" t="s">
        <v>51</v>
      </c>
      <c r="B11" s="2" t="s">
        <v>29</v>
      </c>
      <c r="C11" s="3" t="s">
        <v>39</v>
      </c>
      <c r="D11" s="18" t="str">
        <f t="shared" si="6"/>
        <v>ene</v>
      </c>
      <c r="E11" s="5">
        <v>45665</v>
      </c>
      <c r="F11" s="6">
        <v>45675</v>
      </c>
      <c r="G11" s="7">
        <v>20</v>
      </c>
      <c r="H11" s="7">
        <v>2490</v>
      </c>
      <c r="I11" s="7">
        <v>1044</v>
      </c>
      <c r="J11" s="8">
        <v>14243.29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14626.451335087097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10468.323357879235</v>
      </c>
      <c r="M11" s="8">
        <f t="shared" si="0"/>
        <v>39338.064692966334</v>
      </c>
      <c r="N11" s="9">
        <f t="shared" si="1"/>
        <v>15.798419555408167</v>
      </c>
      <c r="O11" s="10">
        <v>831</v>
      </c>
      <c r="P11" s="3">
        <v>120</v>
      </c>
      <c r="Q11" s="3"/>
      <c r="R11" s="3">
        <v>160</v>
      </c>
      <c r="S11" s="8">
        <f t="shared" si="2"/>
        <v>17552.044126058474</v>
      </c>
      <c r="T11" s="7">
        <f t="shared" si="3"/>
        <v>-67</v>
      </c>
      <c r="U11" s="3">
        <v>0</v>
      </c>
      <c r="V11" s="8">
        <f t="shared" si="5"/>
        <v>-1058.4941102123471</v>
      </c>
      <c r="W11" s="8"/>
      <c r="X11" s="11">
        <f t="shared" si="4"/>
        <v>0</v>
      </c>
    </row>
    <row r="12" spans="1:24" ht="15.5" x14ac:dyDescent="0.35">
      <c r="A12" s="1">
        <v>1022</v>
      </c>
      <c r="B12" s="2" t="s">
        <v>23</v>
      </c>
      <c r="C12" s="3" t="s">
        <v>52</v>
      </c>
      <c r="D12" s="18" t="str">
        <f t="shared" si="6"/>
        <v>ene</v>
      </c>
      <c r="E12" s="5">
        <v>45666</v>
      </c>
      <c r="F12" s="6">
        <v>45694</v>
      </c>
      <c r="G12" s="7">
        <v>4</v>
      </c>
      <c r="H12" s="7">
        <v>430</v>
      </c>
      <c r="I12" s="7"/>
      <c r="J12" s="8">
        <v>6646.82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5009.7946262511359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2203.3582588774339</v>
      </c>
      <c r="M12" s="8">
        <f t="shared" si="0"/>
        <v>13859.972885128569</v>
      </c>
      <c r="N12" s="9">
        <f t="shared" si="1"/>
        <v>32.232495081694346</v>
      </c>
      <c r="O12" s="10">
        <v>281</v>
      </c>
      <c r="P12" s="3">
        <v>130</v>
      </c>
      <c r="Q12" s="3"/>
      <c r="R12" s="3"/>
      <c r="S12" s="8">
        <f t="shared" si="2"/>
        <v>13247.555478576376</v>
      </c>
      <c r="T12" s="7">
        <f t="shared" si="3"/>
        <v>19</v>
      </c>
      <c r="U12" s="3">
        <v>19</v>
      </c>
      <c r="V12" s="8">
        <f t="shared" si="5"/>
        <v>0</v>
      </c>
      <c r="W12" s="8"/>
      <c r="X12" s="11">
        <f t="shared" si="4"/>
        <v>612.41740655219257</v>
      </c>
    </row>
    <row r="13" spans="1:24" ht="15.5" x14ac:dyDescent="0.35">
      <c r="A13" s="1">
        <v>1023</v>
      </c>
      <c r="B13" s="2" t="s">
        <v>23</v>
      </c>
      <c r="C13" s="3" t="s">
        <v>53</v>
      </c>
      <c r="D13" s="18" t="str">
        <f t="shared" si="6"/>
        <v>ene</v>
      </c>
      <c r="E13" s="5">
        <v>45667</v>
      </c>
      <c r="F13" s="6">
        <v>45691</v>
      </c>
      <c r="G13" s="7">
        <v>3</v>
      </c>
      <c r="H13" s="7">
        <v>343</v>
      </c>
      <c r="I13" s="7"/>
      <c r="J13" s="8">
        <v>6250.04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3757.3459696883519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1652.5186941580755</v>
      </c>
      <c r="M13" s="8">
        <f t="shared" si="0"/>
        <v>11659.904663846428</v>
      </c>
      <c r="N13" s="9">
        <f t="shared" si="1"/>
        <v>33.993891148240316</v>
      </c>
      <c r="O13" s="10">
        <v>300</v>
      </c>
      <c r="P13" s="3">
        <v>43</v>
      </c>
      <c r="Q13" s="3"/>
      <c r="R13" s="3"/>
      <c r="S13" s="8">
        <f t="shared" si="2"/>
        <v>11659.904663846428</v>
      </c>
      <c r="T13" s="7">
        <f t="shared" si="3"/>
        <v>0</v>
      </c>
      <c r="U13" s="3">
        <v>0</v>
      </c>
      <c r="V13" s="8">
        <f t="shared" si="5"/>
        <v>0</v>
      </c>
      <c r="W13" s="8"/>
      <c r="X13" s="11">
        <f t="shared" si="4"/>
        <v>0</v>
      </c>
    </row>
    <row r="14" spans="1:24" ht="15.5" x14ac:dyDescent="0.35">
      <c r="A14" s="1">
        <v>1024</v>
      </c>
      <c r="B14" s="2" t="s">
        <v>23</v>
      </c>
      <c r="C14" s="3" t="s">
        <v>35</v>
      </c>
      <c r="D14" s="18" t="str">
        <f t="shared" si="6"/>
        <v>ene</v>
      </c>
      <c r="E14" s="5">
        <v>45671</v>
      </c>
      <c r="F14" s="6">
        <v>45682</v>
      </c>
      <c r="G14" s="7">
        <v>4</v>
      </c>
      <c r="H14" s="7">
        <v>447</v>
      </c>
      <c r="I14" s="7">
        <v>185</v>
      </c>
      <c r="J14" s="8">
        <v>5734.58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5009.7946262511359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2203.3582588774339</v>
      </c>
      <c r="M14" s="8">
        <f t="shared" si="0"/>
        <v>12947.732885128569</v>
      </c>
      <c r="N14" s="9">
        <f t="shared" si="1"/>
        <v>28.965845380600825</v>
      </c>
      <c r="O14" s="10">
        <v>120</v>
      </c>
      <c r="P14" s="3">
        <v>60</v>
      </c>
      <c r="Q14" s="3"/>
      <c r="R14" s="3"/>
      <c r="S14" s="8">
        <f t="shared" si="2"/>
        <v>5213.8521685081487</v>
      </c>
      <c r="T14" s="7">
        <f t="shared" si="3"/>
        <v>5</v>
      </c>
      <c r="U14" s="3">
        <v>0</v>
      </c>
      <c r="V14" s="8">
        <f t="shared" si="5"/>
        <v>144.82922690300413</v>
      </c>
      <c r="W14" s="8"/>
      <c r="X14" s="11">
        <f t="shared" si="4"/>
        <v>0</v>
      </c>
    </row>
    <row r="15" spans="1:24" ht="15.5" x14ac:dyDescent="0.35">
      <c r="A15" s="1">
        <v>1025</v>
      </c>
      <c r="B15" s="2" t="s">
        <v>23</v>
      </c>
      <c r="C15" s="3" t="s">
        <v>41</v>
      </c>
      <c r="D15" s="18" t="str">
        <f t="shared" si="6"/>
        <v>ene</v>
      </c>
      <c r="E15" s="5">
        <v>45673</v>
      </c>
      <c r="F15" s="6">
        <v>45686</v>
      </c>
      <c r="G15" s="7">
        <v>8</v>
      </c>
      <c r="H15" s="7">
        <v>840</v>
      </c>
      <c r="I15" s="7">
        <v>502</v>
      </c>
      <c r="J15" s="8">
        <v>16307.18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10019.589252502272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4406.7165177548677</v>
      </c>
      <c r="M15" s="8">
        <f t="shared" si="0"/>
        <v>30733.485770257139</v>
      </c>
      <c r="N15" s="9">
        <f t="shared" si="1"/>
        <v>36.587483059829928</v>
      </c>
      <c r="O15" s="10">
        <v>258</v>
      </c>
      <c r="P15" s="3">
        <v>180</v>
      </c>
      <c r="Q15" s="3"/>
      <c r="R15" s="3">
        <v>60</v>
      </c>
      <c r="S15" s="8">
        <f t="shared" si="2"/>
        <v>18220.566563795302</v>
      </c>
      <c r="T15" s="7">
        <f t="shared" si="3"/>
        <v>4</v>
      </c>
      <c r="U15" s="3">
        <v>0</v>
      </c>
      <c r="V15" s="8">
        <f t="shared" si="5"/>
        <v>146.34993223931971</v>
      </c>
      <c r="W15" s="8"/>
      <c r="X15" s="11">
        <f t="shared" si="4"/>
        <v>0</v>
      </c>
    </row>
    <row r="16" spans="1:24" ht="15.5" x14ac:dyDescent="0.35">
      <c r="A16" s="1" t="s">
        <v>54</v>
      </c>
      <c r="B16" s="2" t="s">
        <v>29</v>
      </c>
      <c r="C16" s="3" t="s">
        <v>47</v>
      </c>
      <c r="D16" s="18" t="str">
        <f t="shared" si="6"/>
        <v>ene</v>
      </c>
      <c r="E16" s="5">
        <v>45674</v>
      </c>
      <c r="F16" s="6">
        <v>45689</v>
      </c>
      <c r="G16" s="7">
        <v>20</v>
      </c>
      <c r="H16" s="7">
        <v>2358</v>
      </c>
      <c r="I16" s="7"/>
      <c r="J16" s="8">
        <v>29260.81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14626.451335087097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10468.323357879235</v>
      </c>
      <c r="M16" s="8">
        <f t="shared" si="0"/>
        <v>54355.584692966331</v>
      </c>
      <c r="N16" s="9">
        <f t="shared" si="1"/>
        <v>23.051562634845773</v>
      </c>
      <c r="O16" s="10">
        <v>1204</v>
      </c>
      <c r="P16" s="3">
        <v>240</v>
      </c>
      <c r="Q16" s="3"/>
      <c r="R16" s="3">
        <v>420</v>
      </c>
      <c r="S16" s="8">
        <f t="shared" si="2"/>
        <v>42968.112751352521</v>
      </c>
      <c r="T16" s="7">
        <f t="shared" si="3"/>
        <v>494</v>
      </c>
      <c r="U16" s="3">
        <v>494</v>
      </c>
      <c r="V16" s="8">
        <f t="shared" si="5"/>
        <v>0</v>
      </c>
      <c r="W16" s="8"/>
      <c r="X16" s="11">
        <f t="shared" si="4"/>
        <v>11387.471941613812</v>
      </c>
    </row>
    <row r="17" spans="1:24" ht="15.5" x14ac:dyDescent="0.35">
      <c r="A17" s="1">
        <v>1026</v>
      </c>
      <c r="B17" s="2" t="s">
        <v>23</v>
      </c>
      <c r="C17" s="3" t="s">
        <v>36</v>
      </c>
      <c r="D17" s="18" t="str">
        <f t="shared" si="6"/>
        <v>ene</v>
      </c>
      <c r="E17" s="5">
        <v>45679</v>
      </c>
      <c r="F17" s="6">
        <v>45696</v>
      </c>
      <c r="G17" s="7">
        <v>8</v>
      </c>
      <c r="H17" s="7">
        <v>867</v>
      </c>
      <c r="I17" s="7"/>
      <c r="J17" s="8">
        <v>14204.08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10019.589252502272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4406.7165177548677</v>
      </c>
      <c r="M17" s="8">
        <f t="shared" si="0"/>
        <v>28630.38577025714</v>
      </c>
      <c r="N17" s="9">
        <f t="shared" si="1"/>
        <v>33.022359596605696</v>
      </c>
      <c r="O17" s="10">
        <v>609</v>
      </c>
      <c r="P17" s="3">
        <v>120</v>
      </c>
      <c r="Q17" s="3"/>
      <c r="R17" s="3">
        <v>20</v>
      </c>
      <c r="S17" s="8">
        <f t="shared" si="2"/>
        <v>24733.747337857665</v>
      </c>
      <c r="T17" s="7">
        <f t="shared" si="3"/>
        <v>118</v>
      </c>
      <c r="U17" s="3">
        <v>118</v>
      </c>
      <c r="V17" s="8">
        <f t="shared" si="5"/>
        <v>0</v>
      </c>
      <c r="W17" s="8"/>
      <c r="X17" s="11">
        <f t="shared" si="4"/>
        <v>3896.6384323994721</v>
      </c>
    </row>
    <row r="18" spans="1:24" ht="15.5" x14ac:dyDescent="0.35">
      <c r="A18" s="1" t="s">
        <v>55</v>
      </c>
      <c r="B18" s="2" t="s">
        <v>29</v>
      </c>
      <c r="C18" s="3" t="s">
        <v>34</v>
      </c>
      <c r="D18" s="18" t="str">
        <f t="shared" si="6"/>
        <v>ene</v>
      </c>
      <c r="E18" s="5">
        <v>45681</v>
      </c>
      <c r="F18" s="6">
        <v>45707</v>
      </c>
      <c r="G18" s="7">
        <v>40</v>
      </c>
      <c r="H18" s="7">
        <v>4570</v>
      </c>
      <c r="I18" s="7"/>
      <c r="J18" s="8">
        <v>91483.91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29252.902670174193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20936.64671575847</v>
      </c>
      <c r="M18" s="8">
        <f t="shared" si="0"/>
        <v>141673.45938593266</v>
      </c>
      <c r="N18" s="9">
        <f t="shared" si="1"/>
        <v>31.000756977228153</v>
      </c>
      <c r="O18" s="10">
        <v>941</v>
      </c>
      <c r="P18" s="3">
        <v>480</v>
      </c>
      <c r="Q18" s="3"/>
      <c r="R18" s="3">
        <v>620</v>
      </c>
      <c r="S18" s="8">
        <f t="shared" si="2"/>
        <v>63272.544990522663</v>
      </c>
      <c r="T18" s="7">
        <f t="shared" si="3"/>
        <v>2529</v>
      </c>
      <c r="U18" s="3">
        <v>2529</v>
      </c>
      <c r="V18" s="8">
        <f t="shared" si="5"/>
        <v>0</v>
      </c>
      <c r="W18" s="8"/>
      <c r="X18" s="11">
        <f t="shared" si="4"/>
        <v>78400.91439541</v>
      </c>
    </row>
    <row r="19" spans="1:24" ht="15.5" x14ac:dyDescent="0.35">
      <c r="A19" s="1">
        <v>1027</v>
      </c>
      <c r="B19" s="2" t="s">
        <v>23</v>
      </c>
      <c r="C19" s="3" t="s">
        <v>56</v>
      </c>
      <c r="D19" s="18" t="str">
        <f t="shared" si="6"/>
        <v>ene</v>
      </c>
      <c r="E19" s="5">
        <v>45681</v>
      </c>
      <c r="F19" s="6">
        <v>45699</v>
      </c>
      <c r="G19" s="7">
        <v>3</v>
      </c>
      <c r="H19" s="7">
        <v>290</v>
      </c>
      <c r="I19" s="7"/>
      <c r="J19" s="8">
        <v>15392.8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3757.3459696883519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1652.5186941580755</v>
      </c>
      <c r="M19" s="8">
        <f t="shared" si="0"/>
        <v>20802.664663846426</v>
      </c>
      <c r="N19" s="9">
        <f t="shared" si="1"/>
        <v>71.733326427056639</v>
      </c>
      <c r="O19" s="10">
        <v>156</v>
      </c>
      <c r="P19" s="3">
        <v>70</v>
      </c>
      <c r="Q19" s="3"/>
      <c r="R19" s="3">
        <v>60</v>
      </c>
      <c r="S19" s="8">
        <f t="shared" si="2"/>
        <v>20515.7313581382</v>
      </c>
      <c r="T19" s="7">
        <f t="shared" si="3"/>
        <v>4</v>
      </c>
      <c r="U19" s="3">
        <v>0</v>
      </c>
      <c r="V19" s="8">
        <f t="shared" si="5"/>
        <v>286.93330570822656</v>
      </c>
      <c r="W19" s="8"/>
      <c r="X19" s="11">
        <f t="shared" si="4"/>
        <v>0</v>
      </c>
    </row>
    <row r="20" spans="1:24" ht="15.5" x14ac:dyDescent="0.35">
      <c r="A20" s="1">
        <v>1028</v>
      </c>
      <c r="B20" s="2" t="s">
        <v>23</v>
      </c>
      <c r="C20" s="3" t="s">
        <v>57</v>
      </c>
      <c r="D20" s="18" t="str">
        <f t="shared" si="6"/>
        <v>ene</v>
      </c>
      <c r="E20" s="5">
        <v>45685</v>
      </c>
      <c r="F20" s="6">
        <v>45714</v>
      </c>
      <c r="G20" s="7">
        <v>4</v>
      </c>
      <c r="H20" s="7">
        <v>434</v>
      </c>
      <c r="I20" s="7"/>
      <c r="J20" s="8">
        <v>6557.5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5009.7946262511359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2203.3582588774339</v>
      </c>
      <c r="M20" s="8">
        <f t="shared" si="0"/>
        <v>13770.652885128569</v>
      </c>
      <c r="N20" s="9">
        <f t="shared" si="1"/>
        <v>31.729614942692557</v>
      </c>
      <c r="O20" s="10">
        <v>60</v>
      </c>
      <c r="P20" s="3">
        <v>13</v>
      </c>
      <c r="Q20" s="3"/>
      <c r="R20" s="3"/>
      <c r="S20" s="8">
        <f t="shared" si="2"/>
        <v>2316.2618908165568</v>
      </c>
      <c r="T20" s="7">
        <f t="shared" si="3"/>
        <v>361</v>
      </c>
      <c r="U20" s="3">
        <v>361</v>
      </c>
      <c r="V20" s="8">
        <f t="shared" si="5"/>
        <v>0</v>
      </c>
      <c r="W20" s="8"/>
      <c r="X20" s="11">
        <f t="shared" si="4"/>
        <v>11454.390994312012</v>
      </c>
    </row>
    <row r="21" spans="1:24" ht="15.5" x14ac:dyDescent="0.35">
      <c r="A21" s="1">
        <v>1029</v>
      </c>
      <c r="B21" s="2" t="s">
        <v>23</v>
      </c>
      <c r="C21" s="3" t="s">
        <v>45</v>
      </c>
      <c r="D21" s="18" t="str">
        <f t="shared" si="6"/>
        <v>ene</v>
      </c>
      <c r="E21" s="5">
        <v>45686</v>
      </c>
      <c r="F21" s="6">
        <v>45701</v>
      </c>
      <c r="G21" s="7">
        <v>3</v>
      </c>
      <c r="H21" s="7">
        <v>412</v>
      </c>
      <c r="I21" s="7"/>
      <c r="J21" s="8">
        <v>5252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3757.3459696883519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1652.5186941580755</v>
      </c>
      <c r="M21" s="8">
        <f t="shared" si="0"/>
        <v>10661.864663846427</v>
      </c>
      <c r="N21" s="9">
        <f t="shared" si="1"/>
        <v>25.878312290889387</v>
      </c>
      <c r="O21" s="10">
        <v>268</v>
      </c>
      <c r="P21" s="3">
        <v>112</v>
      </c>
      <c r="Q21" s="3"/>
      <c r="R21" s="3">
        <v>10</v>
      </c>
      <c r="S21" s="8">
        <f t="shared" si="2"/>
        <v>10092.541793446861</v>
      </c>
      <c r="T21" s="7">
        <f t="shared" si="3"/>
        <v>22</v>
      </c>
      <c r="U21" s="3">
        <v>22</v>
      </c>
      <c r="V21" s="8">
        <f t="shared" si="5"/>
        <v>0</v>
      </c>
      <c r="W21" s="8"/>
      <c r="X21" s="11">
        <f t="shared" si="4"/>
        <v>569.32287039956645</v>
      </c>
    </row>
    <row r="22" spans="1:24" ht="15.5" x14ac:dyDescent="0.35">
      <c r="A22" s="1">
        <v>1030</v>
      </c>
      <c r="B22" s="2" t="s">
        <v>23</v>
      </c>
      <c r="C22" s="3" t="s">
        <v>56</v>
      </c>
      <c r="D22" s="18" t="str">
        <f t="shared" si="6"/>
        <v>ene</v>
      </c>
      <c r="E22" s="5">
        <v>45688</v>
      </c>
      <c r="F22" s="6">
        <v>45703</v>
      </c>
      <c r="G22" s="7">
        <v>6</v>
      </c>
      <c r="H22" s="7">
        <v>729</v>
      </c>
      <c r="I22" s="7"/>
      <c r="J22" s="8">
        <v>20804.919999999998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7514.6919393767039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3305.037388316151</v>
      </c>
      <c r="M22" s="8">
        <f t="shared" si="0"/>
        <v>31624.649327692852</v>
      </c>
      <c r="N22" s="9">
        <f t="shared" si="1"/>
        <v>43.380863275298836</v>
      </c>
      <c r="O22" s="10">
        <v>300</v>
      </c>
      <c r="P22" s="3">
        <v>240</v>
      </c>
      <c r="Q22" s="3"/>
      <c r="R22" s="3">
        <v>30</v>
      </c>
      <c r="S22" s="8">
        <f t="shared" si="2"/>
        <v>24727.092066920337</v>
      </c>
      <c r="T22" s="7">
        <f t="shared" si="3"/>
        <v>159</v>
      </c>
      <c r="U22" s="3">
        <v>159</v>
      </c>
      <c r="V22" s="8">
        <f t="shared" si="5"/>
        <v>0</v>
      </c>
      <c r="W22" s="8"/>
      <c r="X22" s="11">
        <f t="shared" si="4"/>
        <v>6897.5572607725153</v>
      </c>
    </row>
    <row r="23" spans="1:24" ht="15.5" x14ac:dyDescent="0.35">
      <c r="A23" s="1" t="s">
        <v>58</v>
      </c>
      <c r="B23" s="2" t="s">
        <v>29</v>
      </c>
      <c r="C23" s="3" t="s">
        <v>59</v>
      </c>
      <c r="D23" s="18" t="str">
        <f t="shared" si="6"/>
        <v>ene</v>
      </c>
      <c r="E23" s="5">
        <v>45688</v>
      </c>
      <c r="F23" s="6">
        <v>45722</v>
      </c>
      <c r="G23" s="7">
        <v>20</v>
      </c>
      <c r="H23" s="7">
        <v>2421</v>
      </c>
      <c r="I23" s="7"/>
      <c r="J23" s="8">
        <v>33327.93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14626.451335087097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10468.323357879235</v>
      </c>
      <c r="M23" s="8">
        <f t="shared" si="0"/>
        <v>58422.704692966334</v>
      </c>
      <c r="N23" s="9">
        <f t="shared" si="1"/>
        <v>24.131641756698198</v>
      </c>
      <c r="O23" s="10"/>
      <c r="P23" s="3"/>
      <c r="Q23" s="3"/>
      <c r="R23" s="3"/>
      <c r="S23" s="8">
        <f t="shared" si="2"/>
        <v>0</v>
      </c>
      <c r="T23" s="7">
        <f t="shared" si="3"/>
        <v>2421</v>
      </c>
      <c r="U23" s="3">
        <v>2421</v>
      </c>
      <c r="V23" s="8">
        <f t="shared" si="5"/>
        <v>0</v>
      </c>
      <c r="W23" s="8"/>
      <c r="X23" s="11">
        <f t="shared" si="4"/>
        <v>58422.704692966334</v>
      </c>
    </row>
    <row r="24" spans="1:24" ht="15.5" x14ac:dyDescent="0.35">
      <c r="A24" s="1">
        <v>1031</v>
      </c>
      <c r="B24" s="2" t="s">
        <v>23</v>
      </c>
      <c r="C24" s="3" t="s">
        <v>77</v>
      </c>
      <c r="D24" s="18" t="str">
        <f t="shared" si="6"/>
        <v>feb</v>
      </c>
      <c r="E24" s="5">
        <v>45693</v>
      </c>
      <c r="F24" s="6">
        <v>45707</v>
      </c>
      <c r="G24" s="7">
        <v>3</v>
      </c>
      <c r="H24" s="7">
        <v>340</v>
      </c>
      <c r="I24" s="7"/>
      <c r="J24" s="17">
        <v>12915.92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7515.851597418955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2216.5188395622549</v>
      </c>
      <c r="M24" s="8">
        <f t="shared" si="0"/>
        <v>22648.290436981209</v>
      </c>
      <c r="N24" s="9">
        <f t="shared" si="1"/>
        <v>66.612618932297678</v>
      </c>
      <c r="O24" s="10">
        <v>100</v>
      </c>
      <c r="P24" s="3">
        <v>60</v>
      </c>
      <c r="Q24" s="3"/>
      <c r="R24" s="3"/>
      <c r="S24" s="8">
        <f t="shared" si="2"/>
        <v>10658.019029167628</v>
      </c>
      <c r="T24" s="7">
        <f t="shared" si="3"/>
        <v>180</v>
      </c>
      <c r="U24" s="3">
        <v>180</v>
      </c>
      <c r="V24" s="8">
        <f t="shared" si="5"/>
        <v>0</v>
      </c>
      <c r="W24" s="8"/>
      <c r="X24" s="11">
        <f t="shared" si="4"/>
        <v>11990.271407813581</v>
      </c>
    </row>
    <row r="25" spans="1:24" ht="15.5" x14ac:dyDescent="0.35">
      <c r="A25" s="1">
        <v>1032</v>
      </c>
      <c r="B25" s="2" t="s">
        <v>23</v>
      </c>
      <c r="C25" s="3" t="s">
        <v>24</v>
      </c>
      <c r="D25" s="18" t="str">
        <f t="shared" si="6"/>
        <v>feb</v>
      </c>
      <c r="E25" s="5">
        <v>45694</v>
      </c>
      <c r="F25" s="6">
        <v>45706</v>
      </c>
      <c r="G25" s="7">
        <v>4</v>
      </c>
      <c r="H25" s="7">
        <v>490</v>
      </c>
      <c r="I25" s="7"/>
      <c r="J25" s="17">
        <v>9807.4699999999993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10021.135463225273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2955.3584527496732</v>
      </c>
      <c r="M25" s="8">
        <f t="shared" si="0"/>
        <v>22783.963915974942</v>
      </c>
      <c r="N25" s="9">
        <f t="shared" si="1"/>
        <v>46.497885542806003</v>
      </c>
      <c r="O25" s="10">
        <v>316</v>
      </c>
      <c r="P25" s="3">
        <v>75</v>
      </c>
      <c r="Q25" s="3"/>
      <c r="R25" s="3">
        <v>40</v>
      </c>
      <c r="S25" s="8">
        <f t="shared" si="2"/>
        <v>20040.588668949385</v>
      </c>
      <c r="T25" s="7">
        <f t="shared" si="3"/>
        <v>59</v>
      </c>
      <c r="U25" s="3">
        <v>59</v>
      </c>
      <c r="V25" s="8">
        <f t="shared" si="5"/>
        <v>0</v>
      </c>
      <c r="W25" s="8"/>
      <c r="X25" s="11">
        <f t="shared" si="4"/>
        <v>2743.375247025554</v>
      </c>
    </row>
    <row r="26" spans="1:24" ht="15.5" x14ac:dyDescent="0.35">
      <c r="A26" s="1" t="s">
        <v>78</v>
      </c>
      <c r="B26" s="2" t="s">
        <v>29</v>
      </c>
      <c r="C26" s="3" t="s">
        <v>47</v>
      </c>
      <c r="D26" s="18" t="str">
        <f t="shared" si="6"/>
        <v>feb</v>
      </c>
      <c r="E26" s="5">
        <v>45695</v>
      </c>
      <c r="F26" s="6">
        <v>45708</v>
      </c>
      <c r="G26" s="7">
        <v>20</v>
      </c>
      <c r="H26" s="7">
        <v>2374</v>
      </c>
      <c r="I26" s="7"/>
      <c r="J26" s="8">
        <v>20731.810000000001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31256.293318712575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28674.898413173654</v>
      </c>
      <c r="M26" s="8">
        <f t="shared" si="0"/>
        <v>80663.001731886223</v>
      </c>
      <c r="N26" s="9">
        <f t="shared" si="1"/>
        <v>33.977675539968921</v>
      </c>
      <c r="O26" s="10"/>
      <c r="P26" s="3"/>
      <c r="Q26" s="3"/>
      <c r="R26" s="3"/>
      <c r="S26" s="8">
        <f t="shared" si="2"/>
        <v>0</v>
      </c>
      <c r="T26" s="7">
        <f t="shared" si="3"/>
        <v>2374</v>
      </c>
      <c r="U26" s="3">
        <v>2374</v>
      </c>
      <c r="V26" s="8">
        <f t="shared" si="5"/>
        <v>0</v>
      </c>
      <c r="W26" s="8"/>
      <c r="X26" s="11">
        <f t="shared" si="4"/>
        <v>80663.001731886223</v>
      </c>
    </row>
    <row r="27" spans="1:24" ht="15.5" x14ac:dyDescent="0.35">
      <c r="A27" s="1">
        <v>1033</v>
      </c>
      <c r="B27" s="2" t="s">
        <v>23</v>
      </c>
      <c r="C27" s="3" t="s">
        <v>79</v>
      </c>
      <c r="D27" s="18" t="str">
        <f t="shared" si="6"/>
        <v>feb</v>
      </c>
      <c r="E27" s="5">
        <v>45699</v>
      </c>
      <c r="F27" s="6">
        <v>45724</v>
      </c>
      <c r="G27" s="7">
        <v>8</v>
      </c>
      <c r="H27" s="7">
        <v>867</v>
      </c>
      <c r="I27" s="7"/>
      <c r="J27" s="8">
        <v>17102.73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20042.270926450547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5910.7169054993465</v>
      </c>
      <c r="M27" s="8">
        <f t="shared" si="0"/>
        <v>43055.717831949893</v>
      </c>
      <c r="N27" s="9">
        <f t="shared" si="1"/>
        <v>49.660574200634251</v>
      </c>
      <c r="O27" s="10"/>
      <c r="P27" s="3"/>
      <c r="Q27" s="3"/>
      <c r="R27" s="3"/>
      <c r="S27" s="8">
        <f t="shared" si="2"/>
        <v>0</v>
      </c>
      <c r="T27" s="7">
        <f t="shared" si="3"/>
        <v>867</v>
      </c>
      <c r="U27" s="3">
        <v>867</v>
      </c>
      <c r="V27" s="8">
        <f t="shared" si="5"/>
        <v>0</v>
      </c>
      <c r="W27" s="8"/>
      <c r="X27" s="11">
        <f t="shared" si="4"/>
        <v>43055.717831949893</v>
      </c>
    </row>
    <row r="28" spans="1:24" ht="15.5" x14ac:dyDescent="0.35">
      <c r="A28" s="1">
        <v>1034</v>
      </c>
      <c r="B28" s="2" t="s">
        <v>23</v>
      </c>
      <c r="C28" s="3" t="s">
        <v>35</v>
      </c>
      <c r="D28" s="18" t="str">
        <f t="shared" si="6"/>
        <v>feb</v>
      </c>
      <c r="E28" s="5">
        <v>45700</v>
      </c>
      <c r="F28" s="6">
        <v>45713</v>
      </c>
      <c r="G28" s="7">
        <v>3.5</v>
      </c>
      <c r="H28" s="7">
        <v>395</v>
      </c>
      <c r="I28" s="7"/>
      <c r="J28" s="8">
        <v>5821.86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8768.4935303221137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2585.9386461559643</v>
      </c>
      <c r="M28" s="8">
        <f t="shared" si="0"/>
        <v>17176.292176478077</v>
      </c>
      <c r="N28" s="9">
        <f t="shared" si="1"/>
        <v>43.484283991083736</v>
      </c>
      <c r="O28" s="10">
        <v>120</v>
      </c>
      <c r="P28" s="3">
        <v>60</v>
      </c>
      <c r="Q28" s="3"/>
      <c r="R28" s="3">
        <v>100</v>
      </c>
      <c r="S28" s="8">
        <f t="shared" si="2"/>
        <v>12175.599517503446</v>
      </c>
      <c r="T28" s="7">
        <f t="shared" si="3"/>
        <v>115</v>
      </c>
      <c r="U28" s="3">
        <v>115</v>
      </c>
      <c r="V28" s="8">
        <f t="shared" si="5"/>
        <v>0</v>
      </c>
      <c r="W28" s="8"/>
      <c r="X28" s="11">
        <f t="shared" si="4"/>
        <v>5000.6926589746299</v>
      </c>
    </row>
    <row r="29" spans="1:24" ht="15.5" x14ac:dyDescent="0.35">
      <c r="A29" s="1">
        <v>1035</v>
      </c>
      <c r="B29" s="2" t="s">
        <v>23</v>
      </c>
      <c r="C29" s="3" t="s">
        <v>80</v>
      </c>
      <c r="D29" s="18" t="str">
        <f t="shared" si="6"/>
        <v>feb</v>
      </c>
      <c r="E29" s="5">
        <v>45702</v>
      </c>
      <c r="F29" s="6">
        <v>45720</v>
      </c>
      <c r="G29" s="7">
        <v>3</v>
      </c>
      <c r="H29" s="7">
        <v>360</v>
      </c>
      <c r="I29" s="7"/>
      <c r="J29" s="8">
        <v>9801.0300000000007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7515.851597418955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2216.5188395622549</v>
      </c>
      <c r="M29" s="8">
        <f t="shared" si="0"/>
        <v>19533.40043698121</v>
      </c>
      <c r="N29" s="9">
        <f t="shared" si="1"/>
        <v>54.259445658281138</v>
      </c>
      <c r="O29" s="10"/>
      <c r="P29" s="3"/>
      <c r="Q29" s="3"/>
      <c r="R29" s="3"/>
      <c r="S29" s="8">
        <f t="shared" si="2"/>
        <v>0</v>
      </c>
      <c r="T29" s="7">
        <f t="shared" si="3"/>
        <v>360</v>
      </c>
      <c r="U29" s="3">
        <v>360</v>
      </c>
      <c r="V29" s="8">
        <f t="shared" si="5"/>
        <v>0</v>
      </c>
      <c r="W29" s="8"/>
      <c r="X29" s="11">
        <f t="shared" si="4"/>
        <v>19533.40043698121</v>
      </c>
    </row>
    <row r="30" spans="1:24" ht="15.5" x14ac:dyDescent="0.35">
      <c r="A30" s="1">
        <v>1036</v>
      </c>
      <c r="B30" s="2" t="s">
        <v>23</v>
      </c>
      <c r="C30" s="3" t="s">
        <v>41</v>
      </c>
      <c r="D30" s="18" t="str">
        <f t="shared" si="6"/>
        <v>feb</v>
      </c>
      <c r="E30" s="5">
        <v>45706</v>
      </c>
      <c r="F30" s="6">
        <v>45720</v>
      </c>
      <c r="G30" s="7">
        <v>8</v>
      </c>
      <c r="H30" s="7">
        <v>864</v>
      </c>
      <c r="I30" s="7"/>
      <c r="J30" s="8">
        <v>18284.73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20042.270926450547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5910.7169054993465</v>
      </c>
      <c r="M30" s="8">
        <f t="shared" si="0"/>
        <v>44237.717831949893</v>
      </c>
      <c r="N30" s="9">
        <f t="shared" si="1"/>
        <v>51.201062305497558</v>
      </c>
      <c r="O30" s="10"/>
      <c r="P30" s="3"/>
      <c r="Q30" s="3"/>
      <c r="R30" s="3"/>
      <c r="S30" s="8">
        <f t="shared" si="2"/>
        <v>0</v>
      </c>
      <c r="T30" s="7">
        <f t="shared" si="3"/>
        <v>864</v>
      </c>
      <c r="U30" s="3">
        <v>864</v>
      </c>
      <c r="V30" s="8">
        <f t="shared" si="5"/>
        <v>0</v>
      </c>
      <c r="W30" s="8"/>
      <c r="X30" s="11">
        <f t="shared" si="4"/>
        <v>44237.717831949893</v>
      </c>
    </row>
    <row r="31" spans="1:24" ht="15.5" x14ac:dyDescent="0.35">
      <c r="A31" s="1">
        <v>1037</v>
      </c>
      <c r="B31" s="2" t="s">
        <v>23</v>
      </c>
      <c r="C31" s="3" t="s">
        <v>24</v>
      </c>
      <c r="D31" s="18" t="str">
        <f t="shared" si="6"/>
        <v>feb</v>
      </c>
      <c r="E31" s="5">
        <v>45707</v>
      </c>
      <c r="F31" s="6">
        <v>45722</v>
      </c>
      <c r="G31" s="7">
        <v>4</v>
      </c>
      <c r="H31" s="7">
        <v>430</v>
      </c>
      <c r="I31" s="7"/>
      <c r="J31" s="17">
        <v>9797.57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10021.135463225273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2955.3584527496732</v>
      </c>
      <c r="M31" s="8">
        <f t="shared" si="0"/>
        <v>22774.063915974948</v>
      </c>
      <c r="N31" s="9">
        <f t="shared" si="1"/>
        <v>52.962939339476627</v>
      </c>
      <c r="O31" s="10"/>
      <c r="P31" s="3"/>
      <c r="Q31" s="3"/>
      <c r="R31" s="3"/>
      <c r="S31" s="8">
        <f t="shared" si="2"/>
        <v>0</v>
      </c>
      <c r="T31" s="7">
        <f t="shared" si="3"/>
        <v>430</v>
      </c>
      <c r="U31" s="3">
        <v>430</v>
      </c>
      <c r="V31" s="8">
        <f t="shared" si="5"/>
        <v>0</v>
      </c>
      <c r="W31" s="8"/>
      <c r="X31" s="11">
        <f t="shared" si="4"/>
        <v>22774.063915974948</v>
      </c>
    </row>
    <row r="32" spans="1:24" ht="15.5" x14ac:dyDescent="0.35">
      <c r="A32" s="1">
        <v>1038</v>
      </c>
      <c r="B32" s="2" t="s">
        <v>23</v>
      </c>
      <c r="C32" s="3" t="s">
        <v>31</v>
      </c>
      <c r="D32" s="18" t="str">
        <f t="shared" si="6"/>
        <v>feb</v>
      </c>
      <c r="E32" s="5">
        <v>45708</v>
      </c>
      <c r="F32" s="6">
        <v>45722</v>
      </c>
      <c r="G32" s="7">
        <v>3</v>
      </c>
      <c r="H32" s="7">
        <v>360</v>
      </c>
      <c r="I32" s="7"/>
      <c r="J32" s="17">
        <v>9418.0499999999993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7515.851597418955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2216.5188395622549</v>
      </c>
      <c r="M32" s="8">
        <f t="shared" si="0"/>
        <v>19150.420436981207</v>
      </c>
      <c r="N32" s="9">
        <f t="shared" si="1"/>
        <v>53.195612324947795</v>
      </c>
      <c r="O32" s="10"/>
      <c r="P32" s="3"/>
      <c r="Q32" s="3"/>
      <c r="R32" s="3"/>
      <c r="S32" s="8">
        <f t="shared" si="2"/>
        <v>0</v>
      </c>
      <c r="T32" s="7">
        <f t="shared" si="3"/>
        <v>360</v>
      </c>
      <c r="U32" s="3">
        <v>360</v>
      </c>
      <c r="V32" s="8">
        <f t="shared" si="5"/>
        <v>0</v>
      </c>
      <c r="W32" s="8"/>
      <c r="X32" s="11">
        <f t="shared" si="4"/>
        <v>19150.420436981207</v>
      </c>
    </row>
    <row r="33" spans="1:24" ht="15.5" x14ac:dyDescent="0.35">
      <c r="A33" s="1" t="s">
        <v>81</v>
      </c>
      <c r="B33" s="2" t="s">
        <v>29</v>
      </c>
      <c r="C33" s="3" t="s">
        <v>39</v>
      </c>
      <c r="D33" s="18" t="str">
        <f t="shared" si="6"/>
        <v>feb</v>
      </c>
      <c r="E33" s="5">
        <v>45712</v>
      </c>
      <c r="F33" s="6">
        <v>45730</v>
      </c>
      <c r="G33" s="7">
        <v>20</v>
      </c>
      <c r="H33" s="7">
        <v>2430</v>
      </c>
      <c r="I33" s="7"/>
      <c r="J33" s="8">
        <v>24281.58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31256.293318712575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28674.898413173654</v>
      </c>
      <c r="M33" s="8">
        <f t="shared" si="0"/>
        <v>84212.771731886227</v>
      </c>
      <c r="N33" s="9">
        <f t="shared" si="1"/>
        <v>34.655461618060173</v>
      </c>
      <c r="O33" s="10"/>
      <c r="P33" s="3"/>
      <c r="Q33" s="3"/>
      <c r="R33" s="3"/>
      <c r="S33" s="8">
        <f t="shared" si="2"/>
        <v>0</v>
      </c>
      <c r="T33" s="7">
        <f t="shared" si="3"/>
        <v>2430</v>
      </c>
      <c r="U33" s="3">
        <v>2430</v>
      </c>
      <c r="V33" s="8">
        <f t="shared" si="5"/>
        <v>0</v>
      </c>
      <c r="W33" s="8"/>
      <c r="X33" s="11">
        <f t="shared" si="4"/>
        <v>84212.771731886212</v>
      </c>
    </row>
    <row r="34" spans="1:24" ht="15.5" x14ac:dyDescent="0.35">
      <c r="A34" s="1">
        <v>1039</v>
      </c>
      <c r="B34" s="2" t="s">
        <v>23</v>
      </c>
      <c r="C34" s="3" t="s">
        <v>82</v>
      </c>
      <c r="D34" s="18" t="str">
        <f t="shared" si="6"/>
        <v>feb</v>
      </c>
      <c r="E34" s="5">
        <v>45714</v>
      </c>
      <c r="F34" s="6">
        <v>45735</v>
      </c>
      <c r="G34" s="7">
        <v>3</v>
      </c>
      <c r="H34" s="7">
        <v>360</v>
      </c>
      <c r="I34" s="7"/>
      <c r="J34" s="17">
        <v>9859.41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7515.851597418955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2216.5188395622549</v>
      </c>
      <c r="M34" s="8">
        <f t="shared" si="0"/>
        <v>19591.780436981207</v>
      </c>
      <c r="N34" s="9">
        <f t="shared" si="1"/>
        <v>54.421612324947802</v>
      </c>
      <c r="O34" s="10"/>
      <c r="P34" s="3"/>
      <c r="Q34" s="3"/>
      <c r="R34" s="3"/>
      <c r="S34" s="8">
        <f t="shared" si="2"/>
        <v>0</v>
      </c>
      <c r="T34" s="7">
        <f t="shared" si="3"/>
        <v>360</v>
      </c>
      <c r="U34" s="3">
        <v>360</v>
      </c>
      <c r="V34" s="8">
        <f t="shared" si="5"/>
        <v>0</v>
      </c>
      <c r="W34" s="8"/>
      <c r="X34" s="11">
        <f t="shared" si="4"/>
        <v>19591.780436981207</v>
      </c>
    </row>
    <row r="35" spans="1:24" ht="15.5" x14ac:dyDescent="0.35">
      <c r="A35" s="1">
        <v>1040</v>
      </c>
      <c r="B35" s="2" t="s">
        <v>23</v>
      </c>
      <c r="C35" s="3" t="s">
        <v>83</v>
      </c>
      <c r="D35" s="18" t="str">
        <f t="shared" si="6"/>
        <v>feb</v>
      </c>
      <c r="E35" s="5">
        <v>45715</v>
      </c>
      <c r="F35" s="6">
        <v>45744</v>
      </c>
      <c r="G35" s="7">
        <v>4</v>
      </c>
      <c r="H35" s="7">
        <v>464</v>
      </c>
      <c r="I35" s="7"/>
      <c r="J35" s="8">
        <v>7549.7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10021.135463225273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2955.3584527496732</v>
      </c>
      <c r="M35" s="8">
        <f t="shared" si="0"/>
        <v>20526.193915974945</v>
      </c>
      <c r="N35" s="9">
        <f t="shared" si="1"/>
        <v>44.23748688787704</v>
      </c>
      <c r="O35" s="10"/>
      <c r="P35" s="3"/>
      <c r="Q35" s="3"/>
      <c r="R35" s="3"/>
      <c r="S35" s="8">
        <f t="shared" si="2"/>
        <v>0</v>
      </c>
      <c r="T35" s="7">
        <f t="shared" si="3"/>
        <v>464</v>
      </c>
      <c r="U35" s="3">
        <v>464</v>
      </c>
      <c r="V35" s="8">
        <f t="shared" si="5"/>
        <v>0</v>
      </c>
      <c r="W35" s="8"/>
      <c r="X35" s="11">
        <f t="shared" si="4"/>
        <v>20526.193915974945</v>
      </c>
    </row>
    <row r="36" spans="1:24" ht="15.5" x14ac:dyDescent="0.35">
      <c r="A36" s="1"/>
      <c r="B36" s="2"/>
      <c r="C36" s="3"/>
      <c r="D36" s="18" t="str">
        <f t="shared" si="6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0"/>
        <v>0</v>
      </c>
      <c r="N36" s="9" t="str">
        <f t="shared" si="1"/>
        <v>N/A</v>
      </c>
      <c r="O36" s="10"/>
      <c r="P36" s="3"/>
      <c r="Q36" s="3"/>
      <c r="R36" s="3"/>
      <c r="S36" s="8">
        <f t="shared" si="2"/>
        <v>0</v>
      </c>
      <c r="T36" s="7">
        <f t="shared" si="3"/>
        <v>0</v>
      </c>
      <c r="U36" s="3"/>
      <c r="V36" s="8">
        <f t="shared" si="5"/>
        <v>0</v>
      </c>
      <c r="W36" s="8"/>
      <c r="X36" s="11">
        <f t="shared" si="4"/>
        <v>0</v>
      </c>
    </row>
    <row r="37" spans="1:24" ht="15.5" x14ac:dyDescent="0.35">
      <c r="A37" s="1"/>
      <c r="B37" s="2"/>
      <c r="C37" s="3"/>
      <c r="D37" s="18" t="str">
        <f t="shared" si="6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0"/>
        <v>0</v>
      </c>
      <c r="N37" s="9" t="str">
        <f t="shared" si="1"/>
        <v>N/A</v>
      </c>
      <c r="O37" s="10"/>
      <c r="P37" s="3"/>
      <c r="Q37" s="3"/>
      <c r="R37" s="3"/>
      <c r="S37" s="8">
        <f t="shared" si="2"/>
        <v>0</v>
      </c>
      <c r="T37" s="7">
        <f t="shared" si="3"/>
        <v>0</v>
      </c>
      <c r="U37" s="3"/>
      <c r="V37" s="8">
        <f t="shared" si="5"/>
        <v>0</v>
      </c>
      <c r="W37" s="8"/>
      <c r="X37" s="11">
        <f t="shared" si="4"/>
        <v>0</v>
      </c>
    </row>
    <row r="38" spans="1:24" ht="15.5" x14ac:dyDescent="0.35">
      <c r="A38" s="1"/>
      <c r="B38" s="2"/>
      <c r="C38" s="3"/>
      <c r="D38" s="18" t="str">
        <f t="shared" si="6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0"/>
        <v>0</v>
      </c>
      <c r="N38" s="9" t="str">
        <f t="shared" si="1"/>
        <v>N/A</v>
      </c>
      <c r="O38" s="10"/>
      <c r="P38" s="3"/>
      <c r="Q38" s="3"/>
      <c r="R38" s="3"/>
      <c r="S38" s="8">
        <f t="shared" si="2"/>
        <v>0</v>
      </c>
      <c r="T38" s="7">
        <f t="shared" si="3"/>
        <v>0</v>
      </c>
      <c r="U38" s="3"/>
      <c r="V38" s="8">
        <f t="shared" si="5"/>
        <v>0</v>
      </c>
      <c r="W38" s="8"/>
      <c r="X38" s="11">
        <f t="shared" si="4"/>
        <v>0</v>
      </c>
    </row>
    <row r="40" spans="1:24" ht="15.75" customHeight="1" x14ac:dyDescent="0.25">
      <c r="H40" s="21" t="s">
        <v>31</v>
      </c>
      <c r="I40" s="22" t="s">
        <v>84</v>
      </c>
      <c r="J40" s="22">
        <f>SUMIF(D2:D38,I40,J2:J38)</f>
        <v>155371.86000000002</v>
      </c>
      <c r="K40" s="22"/>
      <c r="M40" s="22">
        <f>SUMIF(D2:D38,I40,M2:M38)</f>
        <v>416353.61479999998</v>
      </c>
      <c r="N40" s="22">
        <f>IFERROR(AVERAGEIFS(N2:N35,D2:D35,I40,C2:C35,H40),"")</f>
        <v>53.195612324947795</v>
      </c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7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8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67</v>
      </c>
      <c r="M43" s="21" t="s">
        <v>68</v>
      </c>
      <c r="N43" s="21" t="s">
        <v>69</v>
      </c>
      <c r="O43" s="21" t="s">
        <v>70</v>
      </c>
      <c r="P43" s="21"/>
      <c r="Q43" s="21"/>
      <c r="R43" s="21" t="s">
        <v>71</v>
      </c>
      <c r="S43" s="21">
        <f t="shared" si="7"/>
        <v>3097.826086956522</v>
      </c>
      <c r="T43" s="21" t="s">
        <v>72</v>
      </c>
      <c r="U43" s="21">
        <v>460</v>
      </c>
      <c r="V43" s="21">
        <v>7125</v>
      </c>
      <c r="W43" s="21">
        <f t="shared" si="8"/>
        <v>15.489130434782609</v>
      </c>
    </row>
    <row r="44" spans="1:24" ht="15.5" x14ac:dyDescent="0.35">
      <c r="E44" s="22">
        <v>12915.92</v>
      </c>
      <c r="F44" s="23">
        <f t="shared" ref="F44:F45" si="9">G44+J24</f>
        <v>13515.92</v>
      </c>
      <c r="G44" s="21">
        <f t="shared" ref="G44:G48" si="10">SUM(I44:R44)</f>
        <v>600</v>
      </c>
      <c r="H44" s="21" t="s">
        <v>77</v>
      </c>
      <c r="I44" s="24">
        <v>600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ROUND(S43+S42,2)</f>
        <v>4981.03</v>
      </c>
    </row>
    <row r="45" spans="1:24" ht="15.75" customHeight="1" x14ac:dyDescent="0.25">
      <c r="E45" s="22">
        <v>9807.4699999999993</v>
      </c>
      <c r="F45" s="22">
        <f t="shared" si="9"/>
        <v>13852.99</v>
      </c>
      <c r="G45" s="21">
        <f t="shared" si="10"/>
        <v>4045.52</v>
      </c>
      <c r="H45" s="21" t="s">
        <v>24</v>
      </c>
      <c r="I45" s="24">
        <v>180</v>
      </c>
      <c r="J45" s="24">
        <v>2490.52</v>
      </c>
      <c r="K45" s="24">
        <v>1375</v>
      </c>
      <c r="L45" s="24"/>
      <c r="M45" s="24"/>
      <c r="N45" s="24"/>
      <c r="O45" s="24"/>
      <c r="P45" s="24"/>
      <c r="Q45" s="24"/>
      <c r="R45" s="24"/>
      <c r="S45" s="21">
        <f>S44/2</f>
        <v>2490.5149999999999</v>
      </c>
    </row>
    <row r="46" spans="1:24" ht="15.75" customHeight="1" x14ac:dyDescent="0.25">
      <c r="E46" s="22">
        <v>9797.57</v>
      </c>
      <c r="F46" s="22">
        <f t="shared" ref="F46:F47" si="11">G46+J31</f>
        <v>13843.08</v>
      </c>
      <c r="G46" s="21">
        <f t="shared" si="10"/>
        <v>4045.51</v>
      </c>
      <c r="H46" s="22" t="s">
        <v>24</v>
      </c>
      <c r="I46" s="24">
        <v>180</v>
      </c>
      <c r="J46" s="24">
        <v>2490.5100000000002</v>
      </c>
      <c r="K46" s="24">
        <v>1375</v>
      </c>
      <c r="L46" s="24"/>
      <c r="M46" s="24"/>
      <c r="N46" s="24"/>
      <c r="O46" s="24"/>
      <c r="P46" s="24"/>
      <c r="Q46" s="24"/>
      <c r="R46" s="24"/>
    </row>
    <row r="47" spans="1:24" ht="15.75" customHeight="1" x14ac:dyDescent="0.25">
      <c r="E47" s="22">
        <v>9418.0499999999993</v>
      </c>
      <c r="F47" s="22">
        <f t="shared" si="11"/>
        <v>11218.05</v>
      </c>
      <c r="G47" s="21">
        <f t="shared" si="10"/>
        <v>1800</v>
      </c>
      <c r="H47" s="21" t="s">
        <v>31</v>
      </c>
      <c r="I47" s="24"/>
      <c r="J47" s="24"/>
      <c r="K47" s="24"/>
      <c r="L47" s="24"/>
      <c r="M47" s="24"/>
      <c r="N47" s="24"/>
      <c r="O47" s="24">
        <v>1800</v>
      </c>
      <c r="P47" s="24"/>
      <c r="Q47" s="24"/>
      <c r="R47" s="24"/>
    </row>
    <row r="48" spans="1:24" ht="15.75" customHeight="1" x14ac:dyDescent="0.25">
      <c r="E48" s="22">
        <v>9859.41</v>
      </c>
      <c r="F48" s="22">
        <f>G48+J34</f>
        <v>10219.41</v>
      </c>
      <c r="G48" s="21">
        <f t="shared" si="10"/>
        <v>360</v>
      </c>
      <c r="H48" s="21" t="s">
        <v>85</v>
      </c>
      <c r="I48" s="24">
        <v>360</v>
      </c>
      <c r="J48" s="24"/>
      <c r="K48" s="24"/>
      <c r="L48" s="24"/>
      <c r="M48" s="24"/>
      <c r="N48" s="24"/>
      <c r="O48" s="24"/>
      <c r="P48" s="24"/>
      <c r="Q48" s="24"/>
      <c r="R48" s="24"/>
    </row>
    <row r="51" spans="3:10" ht="15.75" customHeight="1" x14ac:dyDescent="0.25">
      <c r="J51" s="22"/>
    </row>
    <row r="55" spans="3:10" ht="15.75" customHeight="1" x14ac:dyDescent="0.25">
      <c r="C55" s="26"/>
    </row>
  </sheetData>
  <conditionalFormatting sqref="N2:N38">
    <cfRule type="cellIs" dxfId="19" priority="1" operator="greaterThan">
      <formula>60</formula>
    </cfRule>
    <cfRule type="cellIs" dxfId="18" priority="2" operator="greaterThan">
      <formula>45</formula>
    </cfRule>
  </conditionalFormatting>
  <dataValidations count="1">
    <dataValidation type="list" allowBlank="1" showErrorMessage="1" sqref="B2:B38" xr:uid="{00000000-0002-0000-01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6"/>
  <sheetViews>
    <sheetView workbookViewId="0">
      <pane xSplit="3" topLeftCell="D1" activePane="topRight" state="frozen"/>
      <selection pane="topRight" activeCell="K2" sqref="K2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13" max="13" width="13.1796875" bestFit="1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>
        <v>1018</v>
      </c>
      <c r="B2" s="2" t="s">
        <v>23</v>
      </c>
      <c r="C2" s="3" t="s">
        <v>48</v>
      </c>
      <c r="D2" s="10" t="s">
        <v>37</v>
      </c>
      <c r="E2" s="5">
        <v>45653</v>
      </c>
      <c r="F2" s="6">
        <v>45677</v>
      </c>
      <c r="G2" s="7">
        <v>8</v>
      </c>
      <c r="H2" s="7">
        <v>882</v>
      </c>
      <c r="I2" s="7">
        <v>60</v>
      </c>
      <c r="J2" s="8">
        <v>14571.75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14051.155295375314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5161.6757245769804</v>
      </c>
      <c r="M2" s="8">
        <f t="shared" ref="M2:M39" si="0">J2+K2+L2</f>
        <v>33784.581019952297</v>
      </c>
      <c r="N2" s="9">
        <f t="shared" ref="N2:N39" si="1">IF(H2&gt;0,M2/H2,"N/A")</f>
        <v>38.30451362806383</v>
      </c>
      <c r="O2" s="10">
        <v>60</v>
      </c>
      <c r="P2" s="3"/>
      <c r="Q2" s="3"/>
      <c r="R2" s="3"/>
      <c r="S2" s="8">
        <f t="shared" ref="S2:S39" si="2">IF(N2="N/A",0,(O2+P2+Q2+R2)*N2)</f>
        <v>2298.2708176838296</v>
      </c>
      <c r="T2" s="7">
        <f t="shared" ref="T2:T39" si="3">IF(I2=0,H2-O2-P2-Q2-R2,I2-O2-P2-Q2-R2)</f>
        <v>0</v>
      </c>
      <c r="U2" s="3">
        <v>0</v>
      </c>
      <c r="V2" s="8">
        <f t="shared" ref="V2:V39" si="4">IF(N2="N/A",0,((T2-U2)*N2)-W2)</f>
        <v>0</v>
      </c>
      <c r="W2" s="8"/>
      <c r="X2" s="11">
        <f t="shared" ref="X2:X39" si="5">IF(N2="N/A",0,U2*N2)</f>
        <v>0</v>
      </c>
    </row>
    <row r="3" spans="1:24" ht="15.5" x14ac:dyDescent="0.35">
      <c r="A3" s="1">
        <v>1022</v>
      </c>
      <c r="B3" s="2" t="s">
        <v>23</v>
      </c>
      <c r="C3" s="3" t="s">
        <v>52</v>
      </c>
      <c r="D3" s="18" t="str">
        <f t="shared" ref="D3:D39" si="6">IF(E3="","-",(TEXT(E3,"MMM")))</f>
        <v>ene</v>
      </c>
      <c r="E3" s="5">
        <v>45666</v>
      </c>
      <c r="F3" s="6">
        <v>45694</v>
      </c>
      <c r="G3" s="7">
        <v>4</v>
      </c>
      <c r="H3" s="7">
        <v>430</v>
      </c>
      <c r="I3" s="7">
        <v>19</v>
      </c>
      <c r="J3" s="8">
        <v>6646.82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5009.7946262511359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2203.3582588774339</v>
      </c>
      <c r="M3" s="8">
        <f t="shared" si="0"/>
        <v>13859.972885128569</v>
      </c>
      <c r="N3" s="9">
        <f t="shared" si="1"/>
        <v>32.232495081694346</v>
      </c>
      <c r="O3" s="10">
        <v>10</v>
      </c>
      <c r="P3" s="3"/>
      <c r="Q3" s="3"/>
      <c r="R3" s="3"/>
      <c r="S3" s="8">
        <f t="shared" si="2"/>
        <v>322.32495081694344</v>
      </c>
      <c r="T3" s="7">
        <f t="shared" si="3"/>
        <v>9</v>
      </c>
      <c r="U3" s="3">
        <v>0</v>
      </c>
      <c r="V3" s="8">
        <f t="shared" si="4"/>
        <v>290.09245573524913</v>
      </c>
      <c r="W3" s="8"/>
      <c r="X3" s="11">
        <f t="shared" si="5"/>
        <v>0</v>
      </c>
    </row>
    <row r="4" spans="1:24" ht="15.5" x14ac:dyDescent="0.35">
      <c r="A4" s="1" t="s">
        <v>54</v>
      </c>
      <c r="B4" s="2" t="s">
        <v>29</v>
      </c>
      <c r="C4" s="3" t="s">
        <v>47</v>
      </c>
      <c r="D4" s="18" t="str">
        <f t="shared" si="6"/>
        <v>ene</v>
      </c>
      <c r="E4" s="5">
        <v>45674</v>
      </c>
      <c r="F4" s="6">
        <v>45689</v>
      </c>
      <c r="G4" s="7">
        <v>20</v>
      </c>
      <c r="H4" s="7">
        <v>2358</v>
      </c>
      <c r="I4" s="7">
        <v>494</v>
      </c>
      <c r="J4" s="8">
        <v>29260.81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14626.451335087097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10468.323357879235</v>
      </c>
      <c r="M4" s="8">
        <f t="shared" si="0"/>
        <v>54355.584692966331</v>
      </c>
      <c r="N4" s="9">
        <f t="shared" si="1"/>
        <v>23.051562634845773</v>
      </c>
      <c r="O4" s="10">
        <v>268</v>
      </c>
      <c r="P4" s="3">
        <v>240</v>
      </c>
      <c r="Q4" s="3"/>
      <c r="R4" s="3">
        <v>50</v>
      </c>
      <c r="S4" s="8">
        <f t="shared" si="2"/>
        <v>12862.771950243941</v>
      </c>
      <c r="T4" s="7">
        <f t="shared" si="3"/>
        <v>-64</v>
      </c>
      <c r="U4" s="3">
        <v>0</v>
      </c>
      <c r="V4" s="8">
        <f t="shared" si="4"/>
        <v>-1475.3000086301295</v>
      </c>
      <c r="W4" s="8"/>
      <c r="X4" s="11">
        <f t="shared" si="5"/>
        <v>0</v>
      </c>
    </row>
    <row r="5" spans="1:24" ht="15.5" x14ac:dyDescent="0.35">
      <c r="A5" s="1">
        <v>1026</v>
      </c>
      <c r="B5" s="2" t="s">
        <v>23</v>
      </c>
      <c r="C5" s="3" t="s">
        <v>36</v>
      </c>
      <c r="D5" s="18" t="str">
        <f t="shared" si="6"/>
        <v>ene</v>
      </c>
      <c r="E5" s="5">
        <v>45679</v>
      </c>
      <c r="F5" s="6">
        <v>45696</v>
      </c>
      <c r="G5" s="7">
        <v>8</v>
      </c>
      <c r="H5" s="7">
        <v>867</v>
      </c>
      <c r="I5" s="7">
        <v>118</v>
      </c>
      <c r="J5" s="8">
        <v>14204.08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10019.589252502272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4406.7165177548677</v>
      </c>
      <c r="M5" s="8">
        <f t="shared" si="0"/>
        <v>28630.38577025714</v>
      </c>
      <c r="N5" s="9">
        <f t="shared" si="1"/>
        <v>33.022359596605696</v>
      </c>
      <c r="O5" s="10">
        <v>38</v>
      </c>
      <c r="P5" s="3">
        <v>60</v>
      </c>
      <c r="Q5" s="3"/>
      <c r="R5" s="3">
        <v>20</v>
      </c>
      <c r="S5" s="8">
        <f t="shared" si="2"/>
        <v>3896.6384323994721</v>
      </c>
      <c r="T5" s="7">
        <f t="shared" si="3"/>
        <v>0</v>
      </c>
      <c r="U5" s="3">
        <v>0</v>
      </c>
      <c r="V5" s="8">
        <f t="shared" si="4"/>
        <v>0</v>
      </c>
      <c r="W5" s="8"/>
      <c r="X5" s="11">
        <f t="shared" si="5"/>
        <v>0</v>
      </c>
    </row>
    <row r="6" spans="1:24" ht="15.5" x14ac:dyDescent="0.35">
      <c r="A6" s="1" t="s">
        <v>55</v>
      </c>
      <c r="B6" s="2" t="s">
        <v>29</v>
      </c>
      <c r="C6" s="3" t="s">
        <v>34</v>
      </c>
      <c r="D6" s="18" t="str">
        <f t="shared" si="6"/>
        <v>ene</v>
      </c>
      <c r="E6" s="5">
        <v>45681</v>
      </c>
      <c r="F6" s="6">
        <v>45707</v>
      </c>
      <c r="G6" s="7">
        <v>40</v>
      </c>
      <c r="H6" s="7">
        <v>4570</v>
      </c>
      <c r="I6" s="7">
        <v>2529</v>
      </c>
      <c r="J6" s="8">
        <v>91483.91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29252.902670174193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20936.64671575847</v>
      </c>
      <c r="M6" s="8">
        <f t="shared" si="0"/>
        <v>141673.45938593266</v>
      </c>
      <c r="N6" s="9">
        <f t="shared" si="1"/>
        <v>31.000756977228153</v>
      </c>
      <c r="O6" s="10">
        <v>1313</v>
      </c>
      <c r="P6" s="3">
        <v>660</v>
      </c>
      <c r="Q6" s="3">
        <v>60</v>
      </c>
      <c r="R6" s="3">
        <v>560</v>
      </c>
      <c r="S6" s="8">
        <f t="shared" si="2"/>
        <v>80384.962841952598</v>
      </c>
      <c r="T6" s="7">
        <f t="shared" si="3"/>
        <v>-64</v>
      </c>
      <c r="U6" s="3">
        <v>0</v>
      </c>
      <c r="V6" s="8">
        <f t="shared" si="4"/>
        <v>-1984.0484465426018</v>
      </c>
      <c r="W6" s="8"/>
      <c r="X6" s="11">
        <f t="shared" si="5"/>
        <v>0</v>
      </c>
    </row>
    <row r="7" spans="1:24" ht="15.5" x14ac:dyDescent="0.35">
      <c r="A7" s="1">
        <v>1028</v>
      </c>
      <c r="B7" s="2" t="s">
        <v>23</v>
      </c>
      <c r="C7" s="3" t="s">
        <v>57</v>
      </c>
      <c r="D7" s="18" t="str">
        <f t="shared" si="6"/>
        <v>ene</v>
      </c>
      <c r="E7" s="5">
        <v>45685</v>
      </c>
      <c r="F7" s="6">
        <v>45714</v>
      </c>
      <c r="G7" s="7">
        <v>4</v>
      </c>
      <c r="H7" s="7">
        <v>434</v>
      </c>
      <c r="I7" s="7">
        <v>361</v>
      </c>
      <c r="J7" s="8">
        <v>6557.5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5009.7946262511359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2203.3582588774339</v>
      </c>
      <c r="M7" s="8">
        <f t="shared" si="0"/>
        <v>13770.652885128569</v>
      </c>
      <c r="N7" s="9">
        <f t="shared" si="1"/>
        <v>31.729614942692557</v>
      </c>
      <c r="O7" s="10">
        <v>176</v>
      </c>
      <c r="P7" s="3">
        <v>180</v>
      </c>
      <c r="Q7" s="3"/>
      <c r="R7" s="3"/>
      <c r="S7" s="8">
        <f t="shared" si="2"/>
        <v>11295.74291959855</v>
      </c>
      <c r="T7" s="7">
        <f t="shared" si="3"/>
        <v>5</v>
      </c>
      <c r="U7" s="3">
        <v>0</v>
      </c>
      <c r="V7" s="8">
        <f t="shared" si="4"/>
        <v>158.64807471346279</v>
      </c>
      <c r="W7" s="8"/>
      <c r="X7" s="11">
        <f t="shared" si="5"/>
        <v>0</v>
      </c>
    </row>
    <row r="8" spans="1:24" ht="15.5" x14ac:dyDescent="0.35">
      <c r="A8" s="1">
        <v>1029</v>
      </c>
      <c r="B8" s="2" t="s">
        <v>23</v>
      </c>
      <c r="C8" s="3" t="s">
        <v>45</v>
      </c>
      <c r="D8" s="18" t="str">
        <f t="shared" si="6"/>
        <v>ene</v>
      </c>
      <c r="E8" s="5">
        <v>45686</v>
      </c>
      <c r="F8" s="6">
        <v>45701</v>
      </c>
      <c r="G8" s="7">
        <v>3</v>
      </c>
      <c r="H8" s="7">
        <v>412</v>
      </c>
      <c r="I8" s="7">
        <v>22</v>
      </c>
      <c r="J8" s="8">
        <v>5252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3757.3459696883519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1652.5186941580755</v>
      </c>
      <c r="M8" s="8">
        <f t="shared" si="0"/>
        <v>10661.864663846427</v>
      </c>
      <c r="N8" s="9">
        <f t="shared" si="1"/>
        <v>25.878312290889387</v>
      </c>
      <c r="O8" s="10"/>
      <c r="P8" s="3"/>
      <c r="Q8" s="3"/>
      <c r="R8" s="3">
        <v>20</v>
      </c>
      <c r="S8" s="8">
        <f t="shared" si="2"/>
        <v>517.56624581778772</v>
      </c>
      <c r="T8" s="7">
        <f t="shared" si="3"/>
        <v>2</v>
      </c>
      <c r="U8" s="3">
        <v>0</v>
      </c>
      <c r="V8" s="8">
        <f t="shared" si="4"/>
        <v>51.756624581778773</v>
      </c>
      <c r="W8" s="8"/>
      <c r="X8" s="11">
        <f t="shared" si="5"/>
        <v>0</v>
      </c>
    </row>
    <row r="9" spans="1:24" ht="15.5" x14ac:dyDescent="0.35">
      <c r="A9" s="1">
        <v>1030</v>
      </c>
      <c r="B9" s="2" t="s">
        <v>23</v>
      </c>
      <c r="C9" s="3" t="s">
        <v>56</v>
      </c>
      <c r="D9" s="18" t="str">
        <f t="shared" si="6"/>
        <v>ene</v>
      </c>
      <c r="E9" s="5">
        <v>45688</v>
      </c>
      <c r="F9" s="6">
        <v>45703</v>
      </c>
      <c r="G9" s="7">
        <v>6</v>
      </c>
      <c r="H9" s="7">
        <v>729</v>
      </c>
      <c r="I9" s="7">
        <v>159</v>
      </c>
      <c r="J9" s="8">
        <v>20804.919999999998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7514.6919393767039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3305.037388316151</v>
      </c>
      <c r="M9" s="8">
        <f t="shared" si="0"/>
        <v>31624.649327692852</v>
      </c>
      <c r="N9" s="9">
        <f t="shared" si="1"/>
        <v>43.380863275298836</v>
      </c>
      <c r="O9" s="10">
        <v>60</v>
      </c>
      <c r="P9" s="3">
        <v>60</v>
      </c>
      <c r="Q9" s="3"/>
      <c r="R9" s="3">
        <v>40</v>
      </c>
      <c r="S9" s="8">
        <f t="shared" si="2"/>
        <v>6940.9381240478142</v>
      </c>
      <c r="T9" s="7">
        <f t="shared" si="3"/>
        <v>-1</v>
      </c>
      <c r="U9" s="3">
        <v>0</v>
      </c>
      <c r="V9" s="8">
        <f t="shared" si="4"/>
        <v>-43.380863275298836</v>
      </c>
      <c r="W9" s="8"/>
      <c r="X9" s="11">
        <f t="shared" si="5"/>
        <v>0</v>
      </c>
    </row>
    <row r="10" spans="1:24" ht="15.5" x14ac:dyDescent="0.35">
      <c r="A10" s="1" t="s">
        <v>58</v>
      </c>
      <c r="B10" s="2" t="s">
        <v>29</v>
      </c>
      <c r="C10" s="3" t="s">
        <v>59</v>
      </c>
      <c r="D10" s="18" t="str">
        <f t="shared" si="6"/>
        <v>ene</v>
      </c>
      <c r="E10" s="5">
        <v>45688</v>
      </c>
      <c r="F10" s="6">
        <v>45722</v>
      </c>
      <c r="G10" s="7">
        <v>20</v>
      </c>
      <c r="H10" s="7">
        <v>2481</v>
      </c>
      <c r="I10" s="7">
        <v>2481</v>
      </c>
      <c r="J10" s="8">
        <v>33327.93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14626.451335087097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10468.323357879235</v>
      </c>
      <c r="M10" s="8">
        <f t="shared" si="0"/>
        <v>58422.704692966334</v>
      </c>
      <c r="N10" s="9">
        <f t="shared" si="1"/>
        <v>23.548047034649873</v>
      </c>
      <c r="O10" s="10">
        <v>1045</v>
      </c>
      <c r="P10" s="3">
        <v>240</v>
      </c>
      <c r="Q10" s="3">
        <v>120</v>
      </c>
      <c r="R10" s="3">
        <v>110</v>
      </c>
      <c r="S10" s="8">
        <f t="shared" si="2"/>
        <v>35675.291257494559</v>
      </c>
      <c r="T10" s="7">
        <f t="shared" si="3"/>
        <v>966</v>
      </c>
      <c r="U10" s="3">
        <v>966</v>
      </c>
      <c r="V10" s="8">
        <f t="shared" si="4"/>
        <v>0</v>
      </c>
      <c r="W10" s="8"/>
      <c r="X10" s="11">
        <f t="shared" si="5"/>
        <v>22747.413435471775</v>
      </c>
    </row>
    <row r="11" spans="1:24" ht="15.5" x14ac:dyDescent="0.35">
      <c r="A11" s="1">
        <v>1031</v>
      </c>
      <c r="B11" s="2" t="s">
        <v>23</v>
      </c>
      <c r="C11" s="3" t="s">
        <v>77</v>
      </c>
      <c r="D11" s="18" t="str">
        <f t="shared" si="6"/>
        <v>feb</v>
      </c>
      <c r="E11" s="5">
        <v>45693</v>
      </c>
      <c r="F11" s="6">
        <v>45707</v>
      </c>
      <c r="G11" s="7">
        <v>3</v>
      </c>
      <c r="H11" s="7">
        <v>340</v>
      </c>
      <c r="I11" s="7">
        <v>180</v>
      </c>
      <c r="J11" s="8">
        <v>12915.92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7515.851597418955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2216.5188395622549</v>
      </c>
      <c r="M11" s="8">
        <f t="shared" si="0"/>
        <v>22648.290436981209</v>
      </c>
      <c r="N11" s="9">
        <f t="shared" si="1"/>
        <v>66.612618932297678</v>
      </c>
      <c r="O11" s="10">
        <v>120</v>
      </c>
      <c r="P11" s="3">
        <v>60</v>
      </c>
      <c r="Q11" s="3"/>
      <c r="R11" s="3"/>
      <c r="S11" s="8">
        <f t="shared" si="2"/>
        <v>11990.271407813581</v>
      </c>
      <c r="T11" s="7">
        <f t="shared" si="3"/>
        <v>0</v>
      </c>
      <c r="U11" s="3">
        <v>0</v>
      </c>
      <c r="V11" s="8">
        <f t="shared" si="4"/>
        <v>0</v>
      </c>
      <c r="W11" s="8"/>
      <c r="X11" s="11">
        <f t="shared" si="5"/>
        <v>0</v>
      </c>
    </row>
    <row r="12" spans="1:24" ht="15.5" x14ac:dyDescent="0.35">
      <c r="A12" s="1">
        <v>1032</v>
      </c>
      <c r="B12" s="2" t="s">
        <v>23</v>
      </c>
      <c r="C12" s="3" t="s">
        <v>24</v>
      </c>
      <c r="D12" s="18" t="str">
        <f t="shared" si="6"/>
        <v>feb</v>
      </c>
      <c r="E12" s="5">
        <v>45694</v>
      </c>
      <c r="F12" s="6">
        <v>45706</v>
      </c>
      <c r="G12" s="7">
        <v>4</v>
      </c>
      <c r="H12" s="7">
        <v>490</v>
      </c>
      <c r="I12" s="7">
        <v>59</v>
      </c>
      <c r="J12" s="8">
        <v>9807.4699999999993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10021.135463225273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2955.3584527496732</v>
      </c>
      <c r="M12" s="8">
        <f t="shared" si="0"/>
        <v>22783.963915974942</v>
      </c>
      <c r="N12" s="9">
        <f t="shared" si="1"/>
        <v>46.497885542806003</v>
      </c>
      <c r="O12" s="10">
        <v>60</v>
      </c>
      <c r="P12" s="3"/>
      <c r="Q12" s="3"/>
      <c r="R12" s="3"/>
      <c r="S12" s="8">
        <f t="shared" si="2"/>
        <v>2789.8731325683602</v>
      </c>
      <c r="T12" s="7">
        <f t="shared" si="3"/>
        <v>-1</v>
      </c>
      <c r="U12" s="3">
        <v>0</v>
      </c>
      <c r="V12" s="8">
        <f t="shared" si="4"/>
        <v>-46.497885542806003</v>
      </c>
      <c r="W12" s="8"/>
      <c r="X12" s="11">
        <f t="shared" si="5"/>
        <v>0</v>
      </c>
    </row>
    <row r="13" spans="1:24" ht="15.5" x14ac:dyDescent="0.35">
      <c r="A13" s="1" t="s">
        <v>78</v>
      </c>
      <c r="B13" s="2" t="s">
        <v>29</v>
      </c>
      <c r="C13" s="3" t="s">
        <v>47</v>
      </c>
      <c r="D13" s="18" t="str">
        <f t="shared" si="6"/>
        <v>feb</v>
      </c>
      <c r="E13" s="5">
        <v>45695</v>
      </c>
      <c r="F13" s="6">
        <v>45708</v>
      </c>
      <c r="G13" s="7">
        <v>20</v>
      </c>
      <c r="H13" s="7">
        <v>2434</v>
      </c>
      <c r="I13" s="7">
        <v>2434</v>
      </c>
      <c r="J13" s="8">
        <v>20731.810000000001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31256.293318712575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28674.898413173654</v>
      </c>
      <c r="M13" s="8">
        <f t="shared" si="0"/>
        <v>80663.001731886223</v>
      </c>
      <c r="N13" s="9">
        <f t="shared" si="1"/>
        <v>33.140099314661555</v>
      </c>
      <c r="O13" s="10">
        <v>1203</v>
      </c>
      <c r="P13" s="3">
        <v>360</v>
      </c>
      <c r="Q13" s="3">
        <v>50</v>
      </c>
      <c r="R13" s="3">
        <v>400</v>
      </c>
      <c r="S13" s="8">
        <f t="shared" si="2"/>
        <v>66711.019920413717</v>
      </c>
      <c r="T13" s="7">
        <f t="shared" si="3"/>
        <v>421</v>
      </c>
      <c r="U13" s="27">
        <v>421</v>
      </c>
      <c r="V13" s="8">
        <f t="shared" si="4"/>
        <v>0</v>
      </c>
      <c r="W13" s="8"/>
      <c r="X13" s="11">
        <f t="shared" si="5"/>
        <v>13951.981811472515</v>
      </c>
    </row>
    <row r="14" spans="1:24" ht="15.5" x14ac:dyDescent="0.35">
      <c r="A14" s="1">
        <v>1033</v>
      </c>
      <c r="B14" s="2" t="s">
        <v>23</v>
      </c>
      <c r="C14" s="3" t="s">
        <v>79</v>
      </c>
      <c r="D14" s="18" t="str">
        <f t="shared" si="6"/>
        <v>feb</v>
      </c>
      <c r="E14" s="5">
        <v>45699</v>
      </c>
      <c r="F14" s="6">
        <v>45724</v>
      </c>
      <c r="G14" s="7">
        <v>8</v>
      </c>
      <c r="H14" s="7">
        <v>867</v>
      </c>
      <c r="I14" s="7">
        <v>867</v>
      </c>
      <c r="J14" s="8">
        <v>17102.73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20042.270926450547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5910.7169054993465</v>
      </c>
      <c r="M14" s="8">
        <f t="shared" si="0"/>
        <v>43055.717831949893</v>
      </c>
      <c r="N14" s="9">
        <f t="shared" si="1"/>
        <v>49.660574200634251</v>
      </c>
      <c r="O14" s="10">
        <v>462</v>
      </c>
      <c r="P14" s="3">
        <v>267</v>
      </c>
      <c r="Q14" s="3">
        <v>60</v>
      </c>
      <c r="R14" s="3">
        <v>70</v>
      </c>
      <c r="S14" s="8">
        <f t="shared" si="2"/>
        <v>42658.43323834482</v>
      </c>
      <c r="T14" s="7">
        <f t="shared" si="3"/>
        <v>8</v>
      </c>
      <c r="U14" s="3">
        <v>0</v>
      </c>
      <c r="V14" s="8">
        <f t="shared" si="4"/>
        <v>397.28459360507401</v>
      </c>
      <c r="W14" s="8"/>
      <c r="X14" s="11">
        <f t="shared" si="5"/>
        <v>0</v>
      </c>
    </row>
    <row r="15" spans="1:24" ht="15.5" x14ac:dyDescent="0.35">
      <c r="A15" s="1">
        <v>1034</v>
      </c>
      <c r="B15" s="2" t="s">
        <v>23</v>
      </c>
      <c r="C15" s="3" t="s">
        <v>35</v>
      </c>
      <c r="D15" s="18" t="str">
        <f t="shared" si="6"/>
        <v>feb</v>
      </c>
      <c r="E15" s="5">
        <v>45700</v>
      </c>
      <c r="F15" s="6">
        <v>45713</v>
      </c>
      <c r="G15" s="7">
        <v>3.5</v>
      </c>
      <c r="H15" s="7">
        <v>395</v>
      </c>
      <c r="I15" s="7">
        <v>115</v>
      </c>
      <c r="J15" s="8">
        <v>5821.86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8768.4935303221137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2585.9386461559643</v>
      </c>
      <c r="M15" s="8">
        <f t="shared" si="0"/>
        <v>17176.292176478077</v>
      </c>
      <c r="N15" s="9">
        <f t="shared" si="1"/>
        <v>43.484283991083736</v>
      </c>
      <c r="O15" s="10">
        <v>90</v>
      </c>
      <c r="P15" s="3"/>
      <c r="Q15" s="3"/>
      <c r="R15" s="3">
        <v>20</v>
      </c>
      <c r="S15" s="8">
        <f t="shared" si="2"/>
        <v>4783.271239019211</v>
      </c>
      <c r="T15" s="7">
        <f t="shared" si="3"/>
        <v>5</v>
      </c>
      <c r="U15" s="3">
        <v>0</v>
      </c>
      <c r="V15" s="8">
        <f t="shared" si="4"/>
        <v>217.42141995541868</v>
      </c>
      <c r="W15" s="8"/>
      <c r="X15" s="11">
        <f t="shared" si="5"/>
        <v>0</v>
      </c>
    </row>
    <row r="16" spans="1:24" ht="15.5" x14ac:dyDescent="0.35">
      <c r="A16" s="1">
        <v>1035</v>
      </c>
      <c r="B16" s="2" t="s">
        <v>23</v>
      </c>
      <c r="C16" s="3" t="s">
        <v>80</v>
      </c>
      <c r="D16" s="18" t="str">
        <f t="shared" si="6"/>
        <v>feb</v>
      </c>
      <c r="E16" s="5">
        <v>45702</v>
      </c>
      <c r="F16" s="6">
        <v>45720</v>
      </c>
      <c r="G16" s="7">
        <v>3</v>
      </c>
      <c r="H16" s="7">
        <v>360</v>
      </c>
      <c r="I16" s="7">
        <v>360</v>
      </c>
      <c r="J16" s="8">
        <v>9801.0300000000007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7515.851597418955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2216.5188395622549</v>
      </c>
      <c r="M16" s="8">
        <f t="shared" si="0"/>
        <v>19533.40043698121</v>
      </c>
      <c r="N16" s="9">
        <f t="shared" si="1"/>
        <v>54.259445658281138</v>
      </c>
      <c r="O16" s="10">
        <v>177</v>
      </c>
      <c r="P16" s="3">
        <v>120</v>
      </c>
      <c r="Q16" s="3">
        <v>60</v>
      </c>
      <c r="R16" s="3"/>
      <c r="S16" s="8">
        <f t="shared" si="2"/>
        <v>19370.622100006367</v>
      </c>
      <c r="T16" s="7">
        <f t="shared" si="3"/>
        <v>3</v>
      </c>
      <c r="U16" s="3">
        <v>0</v>
      </c>
      <c r="V16" s="8">
        <f t="shared" si="4"/>
        <v>162.7783369748434</v>
      </c>
      <c r="W16" s="8"/>
      <c r="X16" s="11">
        <f t="shared" si="5"/>
        <v>0</v>
      </c>
    </row>
    <row r="17" spans="1:24" ht="15.5" x14ac:dyDescent="0.35">
      <c r="A17" s="1">
        <v>1036</v>
      </c>
      <c r="B17" s="2" t="s">
        <v>23</v>
      </c>
      <c r="C17" s="3" t="s">
        <v>41</v>
      </c>
      <c r="D17" s="18" t="str">
        <f t="shared" si="6"/>
        <v>feb</v>
      </c>
      <c r="E17" s="5">
        <v>45706</v>
      </c>
      <c r="F17" s="6">
        <v>45720</v>
      </c>
      <c r="G17" s="7">
        <v>8</v>
      </c>
      <c r="H17" s="7">
        <v>864</v>
      </c>
      <c r="I17" s="7">
        <v>864</v>
      </c>
      <c r="J17" s="8">
        <v>18284.73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20042.270926450547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5910.7169054993465</v>
      </c>
      <c r="M17" s="8">
        <f t="shared" si="0"/>
        <v>44237.717831949893</v>
      </c>
      <c r="N17" s="9">
        <f t="shared" si="1"/>
        <v>51.201062305497558</v>
      </c>
      <c r="O17" s="10">
        <v>434</v>
      </c>
      <c r="P17" s="3">
        <v>300</v>
      </c>
      <c r="Q17" s="3">
        <v>60</v>
      </c>
      <c r="R17" s="3">
        <v>80</v>
      </c>
      <c r="S17" s="8">
        <f t="shared" si="2"/>
        <v>44749.728455004864</v>
      </c>
      <c r="T17" s="7">
        <f t="shared" si="3"/>
        <v>-10</v>
      </c>
      <c r="U17" s="3">
        <v>0</v>
      </c>
      <c r="V17" s="8">
        <f t="shared" si="4"/>
        <v>-512.01062305497555</v>
      </c>
      <c r="W17" s="8"/>
      <c r="X17" s="11">
        <f t="shared" si="5"/>
        <v>0</v>
      </c>
    </row>
    <row r="18" spans="1:24" ht="15.5" x14ac:dyDescent="0.35">
      <c r="A18" s="1">
        <v>1037</v>
      </c>
      <c r="B18" s="2" t="s">
        <v>23</v>
      </c>
      <c r="C18" s="3" t="s">
        <v>24</v>
      </c>
      <c r="D18" s="18" t="str">
        <f t="shared" si="6"/>
        <v>feb</v>
      </c>
      <c r="E18" s="5">
        <v>45707</v>
      </c>
      <c r="F18" s="6">
        <v>45722</v>
      </c>
      <c r="G18" s="7">
        <v>4</v>
      </c>
      <c r="H18" s="7">
        <v>430</v>
      </c>
      <c r="I18" s="7">
        <v>430</v>
      </c>
      <c r="J18" s="8">
        <v>9797.57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10021.135463225273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2955.3584527496732</v>
      </c>
      <c r="M18" s="8">
        <f t="shared" si="0"/>
        <v>22774.063915974948</v>
      </c>
      <c r="N18" s="9">
        <f t="shared" si="1"/>
        <v>52.962939339476627</v>
      </c>
      <c r="O18" s="10">
        <v>316</v>
      </c>
      <c r="P18" s="3">
        <v>70</v>
      </c>
      <c r="Q18" s="3"/>
      <c r="R18" s="3">
        <v>40</v>
      </c>
      <c r="S18" s="8">
        <f t="shared" si="2"/>
        <v>22562.212158617043</v>
      </c>
      <c r="T18" s="7">
        <f t="shared" si="3"/>
        <v>4</v>
      </c>
      <c r="U18" s="3">
        <v>0</v>
      </c>
      <c r="V18" s="8">
        <f t="shared" si="4"/>
        <v>211.85175735790651</v>
      </c>
      <c r="W18" s="8"/>
      <c r="X18" s="11">
        <f t="shared" si="5"/>
        <v>0</v>
      </c>
    </row>
    <row r="19" spans="1:24" ht="15.5" x14ac:dyDescent="0.35">
      <c r="A19" s="1">
        <v>1038</v>
      </c>
      <c r="B19" s="2" t="s">
        <v>23</v>
      </c>
      <c r="C19" s="3" t="s">
        <v>31</v>
      </c>
      <c r="D19" s="18" t="str">
        <f t="shared" si="6"/>
        <v>feb</v>
      </c>
      <c r="E19" s="5">
        <v>45708</v>
      </c>
      <c r="F19" s="6">
        <v>45722</v>
      </c>
      <c r="G19" s="7">
        <v>3</v>
      </c>
      <c r="H19" s="7">
        <v>360</v>
      </c>
      <c r="I19" s="7">
        <v>360</v>
      </c>
      <c r="J19" s="8">
        <v>9418.0499999999993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7515.851597418955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2216.5188395622549</v>
      </c>
      <c r="M19" s="8">
        <f t="shared" si="0"/>
        <v>19150.420436981207</v>
      </c>
      <c r="N19" s="9">
        <f t="shared" si="1"/>
        <v>53.195612324947795</v>
      </c>
      <c r="O19" s="10">
        <v>240</v>
      </c>
      <c r="P19" s="3">
        <v>120</v>
      </c>
      <c r="Q19" s="3"/>
      <c r="R19" s="3"/>
      <c r="S19" s="8">
        <f t="shared" si="2"/>
        <v>19150.420436981207</v>
      </c>
      <c r="T19" s="7">
        <f t="shared" si="3"/>
        <v>0</v>
      </c>
      <c r="U19" s="3">
        <v>0</v>
      </c>
      <c r="V19" s="8">
        <f t="shared" si="4"/>
        <v>0</v>
      </c>
      <c r="W19" s="8"/>
      <c r="X19" s="11">
        <f t="shared" si="5"/>
        <v>0</v>
      </c>
    </row>
    <row r="20" spans="1:24" ht="15.5" x14ac:dyDescent="0.35">
      <c r="A20" s="1" t="s">
        <v>81</v>
      </c>
      <c r="B20" s="2" t="s">
        <v>29</v>
      </c>
      <c r="C20" s="3" t="s">
        <v>39</v>
      </c>
      <c r="D20" s="18" t="str">
        <f t="shared" si="6"/>
        <v>feb</v>
      </c>
      <c r="E20" s="5">
        <v>45712</v>
      </c>
      <c r="F20" s="6">
        <v>45730</v>
      </c>
      <c r="G20" s="7">
        <v>20</v>
      </c>
      <c r="H20" s="7">
        <v>2430</v>
      </c>
      <c r="I20" s="7"/>
      <c r="J20" s="8">
        <v>24281.58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31256.293318712575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28674.898413173654</v>
      </c>
      <c r="M20" s="8">
        <f t="shared" si="0"/>
        <v>84212.771731886227</v>
      </c>
      <c r="N20" s="9">
        <f t="shared" si="1"/>
        <v>34.655461618060173</v>
      </c>
      <c r="O20" s="10">
        <v>1283</v>
      </c>
      <c r="P20" s="3">
        <v>300</v>
      </c>
      <c r="Q20" s="3"/>
      <c r="R20" s="3">
        <v>430</v>
      </c>
      <c r="S20" s="8">
        <f t="shared" si="2"/>
        <v>69761.444237155127</v>
      </c>
      <c r="T20" s="7">
        <f t="shared" si="3"/>
        <v>417</v>
      </c>
      <c r="U20" s="3">
        <v>417</v>
      </c>
      <c r="V20" s="8">
        <f t="shared" si="4"/>
        <v>0</v>
      </c>
      <c r="W20" s="8"/>
      <c r="X20" s="11">
        <f t="shared" si="5"/>
        <v>14451.327494731093</v>
      </c>
    </row>
    <row r="21" spans="1:24" ht="15.5" x14ac:dyDescent="0.35">
      <c r="A21" s="1">
        <v>1039</v>
      </c>
      <c r="B21" s="2" t="s">
        <v>23</v>
      </c>
      <c r="C21" s="3" t="s">
        <v>86</v>
      </c>
      <c r="D21" s="18" t="str">
        <f t="shared" si="6"/>
        <v>feb</v>
      </c>
      <c r="E21" s="5">
        <v>45714</v>
      </c>
      <c r="F21" s="6">
        <v>45735</v>
      </c>
      <c r="G21" s="7">
        <v>3</v>
      </c>
      <c r="H21" s="7">
        <v>360</v>
      </c>
      <c r="I21" s="7"/>
      <c r="J21" s="8">
        <v>9859.41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7515.851597418955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2216.5188395622549</v>
      </c>
      <c r="M21" s="8">
        <f t="shared" si="0"/>
        <v>19591.780436981207</v>
      </c>
      <c r="N21" s="9">
        <f t="shared" si="1"/>
        <v>54.421612324947802</v>
      </c>
      <c r="O21" s="10">
        <v>60</v>
      </c>
      <c r="P21" s="3">
        <v>60</v>
      </c>
      <c r="Q21" s="3"/>
      <c r="R21" s="3">
        <v>240</v>
      </c>
      <c r="S21" s="8">
        <f t="shared" si="2"/>
        <v>19591.780436981207</v>
      </c>
      <c r="T21" s="7">
        <f t="shared" si="3"/>
        <v>0</v>
      </c>
      <c r="U21" s="3">
        <v>0</v>
      </c>
      <c r="V21" s="8">
        <f t="shared" si="4"/>
        <v>0</v>
      </c>
      <c r="W21" s="8"/>
      <c r="X21" s="11">
        <f t="shared" si="5"/>
        <v>0</v>
      </c>
    </row>
    <row r="22" spans="1:24" ht="15.5" x14ac:dyDescent="0.35">
      <c r="A22" s="1">
        <v>1040</v>
      </c>
      <c r="B22" s="2" t="s">
        <v>23</v>
      </c>
      <c r="C22" s="3" t="s">
        <v>83</v>
      </c>
      <c r="D22" s="18" t="str">
        <f t="shared" si="6"/>
        <v>feb</v>
      </c>
      <c r="E22" s="5">
        <v>45715</v>
      </c>
      <c r="F22" s="6">
        <v>45744</v>
      </c>
      <c r="G22" s="7">
        <v>4</v>
      </c>
      <c r="H22" s="7">
        <v>464</v>
      </c>
      <c r="I22" s="7"/>
      <c r="J22" s="8">
        <v>7549.7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10021.135463225273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2955.3584527496732</v>
      </c>
      <c r="M22" s="8">
        <f t="shared" si="0"/>
        <v>20526.193915974945</v>
      </c>
      <c r="N22" s="9">
        <f t="shared" si="1"/>
        <v>44.23748688787704</v>
      </c>
      <c r="O22" s="10">
        <v>120</v>
      </c>
      <c r="P22" s="3">
        <v>44</v>
      </c>
      <c r="Q22" s="3"/>
      <c r="R22" s="3"/>
      <c r="S22" s="8">
        <f t="shared" si="2"/>
        <v>7254.9478496118345</v>
      </c>
      <c r="T22" s="7">
        <f t="shared" si="3"/>
        <v>300</v>
      </c>
      <c r="U22" s="3">
        <v>300</v>
      </c>
      <c r="V22" s="8">
        <f t="shared" si="4"/>
        <v>0</v>
      </c>
      <c r="W22" s="8"/>
      <c r="X22" s="11">
        <f t="shared" si="5"/>
        <v>13271.246066363112</v>
      </c>
    </row>
    <row r="23" spans="1:24" ht="15.5" x14ac:dyDescent="0.35">
      <c r="A23" s="1">
        <v>1041</v>
      </c>
      <c r="B23" s="2" t="s">
        <v>23</v>
      </c>
      <c r="C23" s="3" t="s">
        <v>87</v>
      </c>
      <c r="D23" s="18" t="str">
        <f t="shared" si="6"/>
        <v>mar</v>
      </c>
      <c r="E23" s="5">
        <v>45720</v>
      </c>
      <c r="F23" s="6">
        <v>45734</v>
      </c>
      <c r="G23" s="7">
        <v>3</v>
      </c>
      <c r="H23" s="7">
        <v>347</v>
      </c>
      <c r="I23" s="7"/>
      <c r="J23" s="8">
        <v>9515.24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4660.6806618181818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2065.6524242424243</v>
      </c>
      <c r="M23" s="8">
        <f t="shared" si="0"/>
        <v>16241.573086060605</v>
      </c>
      <c r="N23" s="9">
        <f t="shared" si="1"/>
        <v>46.805686126975807</v>
      </c>
      <c r="O23" s="10">
        <v>240</v>
      </c>
      <c r="P23" s="3">
        <v>102</v>
      </c>
      <c r="Q23" s="3"/>
      <c r="R23" s="3"/>
      <c r="S23" s="8">
        <f t="shared" si="2"/>
        <v>16007.544655425727</v>
      </c>
      <c r="T23" s="7">
        <f t="shared" si="3"/>
        <v>5</v>
      </c>
      <c r="U23" s="3">
        <v>0</v>
      </c>
      <c r="V23" s="8">
        <f t="shared" si="4"/>
        <v>234.02843063487904</v>
      </c>
      <c r="W23" s="8"/>
      <c r="X23" s="11">
        <f t="shared" si="5"/>
        <v>0</v>
      </c>
    </row>
    <row r="24" spans="1:24" ht="15.5" x14ac:dyDescent="0.35">
      <c r="A24" s="1" t="s">
        <v>88</v>
      </c>
      <c r="B24" s="2" t="s">
        <v>29</v>
      </c>
      <c r="C24" s="3" t="s">
        <v>34</v>
      </c>
      <c r="D24" s="18" t="str">
        <f t="shared" si="6"/>
        <v>mar</v>
      </c>
      <c r="E24" s="5">
        <v>45721</v>
      </c>
      <c r="F24" s="6">
        <v>45737</v>
      </c>
      <c r="G24" s="7">
        <v>40</v>
      </c>
      <c r="H24" s="7">
        <v>4500</v>
      </c>
      <c r="I24" s="7"/>
      <c r="J24" s="8">
        <v>77384.98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35489.586690909084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24057.634545454548</v>
      </c>
      <c r="M24" s="8">
        <f t="shared" si="0"/>
        <v>136932.20123636362</v>
      </c>
      <c r="N24" s="9">
        <f t="shared" si="1"/>
        <v>30.429378052525248</v>
      </c>
      <c r="O24" s="10">
        <v>1095</v>
      </c>
      <c r="P24" s="3">
        <v>540</v>
      </c>
      <c r="Q24" s="3"/>
      <c r="R24" s="3">
        <v>690</v>
      </c>
      <c r="S24" s="8">
        <f t="shared" si="2"/>
        <v>70748.303972121197</v>
      </c>
      <c r="T24" s="7">
        <f t="shared" si="3"/>
        <v>2175</v>
      </c>
      <c r="U24" s="3">
        <v>2175</v>
      </c>
      <c r="V24" s="8">
        <f t="shared" si="4"/>
        <v>0</v>
      </c>
      <c r="W24" s="8"/>
      <c r="X24" s="11">
        <f t="shared" si="5"/>
        <v>66183.89726424242</v>
      </c>
    </row>
    <row r="25" spans="1:24" ht="15.5" x14ac:dyDescent="0.35">
      <c r="A25" s="1">
        <v>1042</v>
      </c>
      <c r="B25" s="2" t="s">
        <v>23</v>
      </c>
      <c r="C25" s="3" t="s">
        <v>56</v>
      </c>
      <c r="D25" s="18" t="str">
        <f t="shared" si="6"/>
        <v>mar</v>
      </c>
      <c r="E25" s="5">
        <v>45722</v>
      </c>
      <c r="F25" s="6">
        <v>45737</v>
      </c>
      <c r="G25" s="7">
        <v>6</v>
      </c>
      <c r="H25" s="7">
        <v>715</v>
      </c>
      <c r="I25" s="7"/>
      <c r="J25" s="17">
        <f>19483.43+300</f>
        <v>19783.43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9321.3613236363635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4131.3048484848487</v>
      </c>
      <c r="M25" s="8">
        <f t="shared" si="0"/>
        <v>33236.096172121215</v>
      </c>
      <c r="N25" s="9">
        <f t="shared" si="1"/>
        <v>46.484050590379319</v>
      </c>
      <c r="O25" s="10">
        <v>300</v>
      </c>
      <c r="P25" s="3">
        <v>115</v>
      </c>
      <c r="Q25" s="3"/>
      <c r="R25" s="3">
        <v>60</v>
      </c>
      <c r="S25" s="8">
        <f t="shared" si="2"/>
        <v>22079.924030430175</v>
      </c>
      <c r="T25" s="7">
        <f t="shared" si="3"/>
        <v>240</v>
      </c>
      <c r="U25" s="3">
        <v>240</v>
      </c>
      <c r="V25" s="8">
        <f t="shared" si="4"/>
        <v>0</v>
      </c>
      <c r="W25" s="8"/>
      <c r="X25" s="11">
        <f t="shared" si="5"/>
        <v>11156.172141691037</v>
      </c>
    </row>
    <row r="26" spans="1:24" ht="15.5" x14ac:dyDescent="0.35">
      <c r="A26" s="1">
        <v>1043</v>
      </c>
      <c r="B26" s="2" t="s">
        <v>23</v>
      </c>
      <c r="C26" s="3" t="s">
        <v>35</v>
      </c>
      <c r="D26" s="18" t="str">
        <f t="shared" si="6"/>
        <v>mar</v>
      </c>
      <c r="E26" s="5">
        <v>45723</v>
      </c>
      <c r="F26" s="6">
        <v>45736</v>
      </c>
      <c r="G26" s="7">
        <v>4</v>
      </c>
      <c r="H26" s="7">
        <v>462</v>
      </c>
      <c r="I26" s="7"/>
      <c r="J26" s="8">
        <v>6412.55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6214.240882424242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2754.2032323232324</v>
      </c>
      <c r="M26" s="8">
        <f t="shared" si="0"/>
        <v>15380.994114747475</v>
      </c>
      <c r="N26" s="9">
        <f t="shared" si="1"/>
        <v>33.292195053565962</v>
      </c>
      <c r="O26" s="10">
        <v>237</v>
      </c>
      <c r="P26" s="3">
        <v>152</v>
      </c>
      <c r="Q26" s="3"/>
      <c r="R26" s="3">
        <v>60</v>
      </c>
      <c r="S26" s="8">
        <f t="shared" si="2"/>
        <v>14948.195579051117</v>
      </c>
      <c r="T26" s="7">
        <f t="shared" si="3"/>
        <v>13</v>
      </c>
      <c r="U26" s="3">
        <v>0</v>
      </c>
      <c r="V26" s="8">
        <f t="shared" si="4"/>
        <v>432.79853569635748</v>
      </c>
      <c r="W26" s="8"/>
      <c r="X26" s="11">
        <f t="shared" si="5"/>
        <v>0</v>
      </c>
    </row>
    <row r="27" spans="1:24" ht="15.5" x14ac:dyDescent="0.35">
      <c r="A27" s="1">
        <v>1044</v>
      </c>
      <c r="B27" s="2" t="s">
        <v>23</v>
      </c>
      <c r="C27" s="3" t="s">
        <v>41</v>
      </c>
      <c r="D27" s="18" t="str">
        <f t="shared" si="6"/>
        <v>mar</v>
      </c>
      <c r="E27" s="5">
        <v>45728</v>
      </c>
      <c r="F27" s="6">
        <v>45748</v>
      </c>
      <c r="G27" s="7">
        <v>8</v>
      </c>
      <c r="H27" s="7">
        <v>883</v>
      </c>
      <c r="I27" s="7"/>
      <c r="J27" s="8">
        <v>17419.37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12428.481764848484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5508.4064646464649</v>
      </c>
      <c r="M27" s="8">
        <f t="shared" si="0"/>
        <v>35356.258229494953</v>
      </c>
      <c r="N27" s="9">
        <f t="shared" si="1"/>
        <v>40.041062547559406</v>
      </c>
      <c r="O27" s="10"/>
      <c r="P27" s="3"/>
      <c r="Q27" s="3"/>
      <c r="R27" s="3"/>
      <c r="S27" s="8">
        <f t="shared" si="2"/>
        <v>0</v>
      </c>
      <c r="T27" s="7">
        <f t="shared" si="3"/>
        <v>883</v>
      </c>
      <c r="U27" s="3">
        <v>883</v>
      </c>
      <c r="V27" s="8">
        <f t="shared" si="4"/>
        <v>0</v>
      </c>
      <c r="W27" s="8"/>
      <c r="X27" s="11">
        <f t="shared" si="5"/>
        <v>35356.258229494953</v>
      </c>
    </row>
    <row r="28" spans="1:24" ht="15.5" x14ac:dyDescent="0.35">
      <c r="A28" s="1" t="s">
        <v>89</v>
      </c>
      <c r="B28" s="2" t="s">
        <v>29</v>
      </c>
      <c r="C28" s="3" t="s">
        <v>47</v>
      </c>
      <c r="D28" s="18" t="str">
        <f t="shared" si="6"/>
        <v>mar</v>
      </c>
      <c r="E28" s="5">
        <v>45729</v>
      </c>
      <c r="F28" s="6">
        <v>45747</v>
      </c>
      <c r="G28" s="7">
        <v>20</v>
      </c>
      <c r="H28" s="7">
        <v>2425</v>
      </c>
      <c r="I28" s="7"/>
      <c r="J28" s="8">
        <v>28497.1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17744.793345454542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12028.817272727274</v>
      </c>
      <c r="M28" s="8">
        <f t="shared" si="0"/>
        <v>58270.710618181816</v>
      </c>
      <c r="N28" s="9">
        <f t="shared" si="1"/>
        <v>24.029159017806936</v>
      </c>
      <c r="O28" s="10"/>
      <c r="P28" s="3"/>
      <c r="Q28" s="3"/>
      <c r="R28" s="3"/>
      <c r="S28" s="8">
        <f t="shared" si="2"/>
        <v>0</v>
      </c>
      <c r="T28" s="7">
        <f t="shared" si="3"/>
        <v>2425</v>
      </c>
      <c r="U28" s="3">
        <v>2425</v>
      </c>
      <c r="V28" s="8">
        <f t="shared" si="4"/>
        <v>0</v>
      </c>
      <c r="W28" s="8"/>
      <c r="X28" s="11">
        <f t="shared" si="5"/>
        <v>58270.710618181824</v>
      </c>
    </row>
    <row r="29" spans="1:24" ht="15.5" x14ac:dyDescent="0.35">
      <c r="A29" s="1">
        <v>1045</v>
      </c>
      <c r="B29" s="2" t="s">
        <v>23</v>
      </c>
      <c r="C29" s="3" t="s">
        <v>40</v>
      </c>
      <c r="D29" s="18" t="str">
        <f t="shared" si="6"/>
        <v>mar</v>
      </c>
      <c r="E29" s="5">
        <v>45730</v>
      </c>
      <c r="F29" s="6">
        <v>45747</v>
      </c>
      <c r="G29" s="7">
        <v>3</v>
      </c>
      <c r="H29" s="7">
        <v>394</v>
      </c>
      <c r="I29" s="7"/>
      <c r="J29" s="8">
        <v>10616.18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4660.6806618181818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2065.6524242424243</v>
      </c>
      <c r="M29" s="8">
        <f t="shared" si="0"/>
        <v>17342.513086060608</v>
      </c>
      <c r="N29" s="9">
        <f t="shared" si="1"/>
        <v>44.016530675280727</v>
      </c>
      <c r="O29" s="10"/>
      <c r="P29" s="3"/>
      <c r="Q29" s="3"/>
      <c r="R29" s="3"/>
      <c r="S29" s="8">
        <f t="shared" si="2"/>
        <v>0</v>
      </c>
      <c r="T29" s="7">
        <f t="shared" si="3"/>
        <v>394</v>
      </c>
      <c r="U29" s="3">
        <v>394</v>
      </c>
      <c r="V29" s="8">
        <f t="shared" si="4"/>
        <v>0</v>
      </c>
      <c r="W29" s="8"/>
      <c r="X29" s="11">
        <f t="shared" si="5"/>
        <v>17342.513086060608</v>
      </c>
    </row>
    <row r="30" spans="1:24" ht="15.5" x14ac:dyDescent="0.35">
      <c r="A30" s="1">
        <v>1046</v>
      </c>
      <c r="B30" s="2" t="s">
        <v>23</v>
      </c>
      <c r="C30" s="3" t="s">
        <v>32</v>
      </c>
      <c r="D30" s="18" t="str">
        <f t="shared" si="6"/>
        <v>mar</v>
      </c>
      <c r="E30" s="5">
        <v>45735</v>
      </c>
      <c r="F30" s="6">
        <v>45752</v>
      </c>
      <c r="G30" s="7">
        <v>3</v>
      </c>
      <c r="H30" s="7">
        <v>324</v>
      </c>
      <c r="I30" s="7"/>
      <c r="J30" s="8">
        <v>10432.93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4660.6806618181818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2065.6524242424243</v>
      </c>
      <c r="M30" s="8">
        <f t="shared" si="0"/>
        <v>17159.263086060608</v>
      </c>
      <c r="N30" s="9">
        <f t="shared" si="1"/>
        <v>52.960688537224101</v>
      </c>
      <c r="O30" s="10"/>
      <c r="P30" s="3"/>
      <c r="Q30" s="3"/>
      <c r="R30" s="3"/>
      <c r="S30" s="8">
        <f t="shared" si="2"/>
        <v>0</v>
      </c>
      <c r="T30" s="7">
        <f t="shared" si="3"/>
        <v>324</v>
      </c>
      <c r="U30" s="3">
        <v>324</v>
      </c>
      <c r="V30" s="8">
        <f t="shared" si="4"/>
        <v>0</v>
      </c>
      <c r="W30" s="8"/>
      <c r="X30" s="11">
        <f t="shared" si="5"/>
        <v>17159.263086060608</v>
      </c>
    </row>
    <row r="31" spans="1:24" ht="15.5" x14ac:dyDescent="0.35">
      <c r="A31" s="1">
        <v>1047</v>
      </c>
      <c r="B31" s="2" t="s">
        <v>23</v>
      </c>
      <c r="C31" s="3" t="s">
        <v>49</v>
      </c>
      <c r="D31" s="18" t="str">
        <f t="shared" si="6"/>
        <v>mar</v>
      </c>
      <c r="E31" s="5">
        <v>45736</v>
      </c>
      <c r="F31" s="6">
        <v>45754</v>
      </c>
      <c r="G31" s="7">
        <v>3</v>
      </c>
      <c r="H31" s="7">
        <v>360</v>
      </c>
      <c r="I31" s="7"/>
      <c r="J31" s="8">
        <v>10200.86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4660.6806618181818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2065.6524242424243</v>
      </c>
      <c r="M31" s="8">
        <f t="shared" si="0"/>
        <v>16927.193086060608</v>
      </c>
      <c r="N31" s="9">
        <f t="shared" si="1"/>
        <v>47.019980794612799</v>
      </c>
      <c r="O31" s="10"/>
      <c r="P31" s="3"/>
      <c r="Q31" s="3"/>
      <c r="R31" s="3"/>
      <c r="S31" s="8">
        <f t="shared" si="2"/>
        <v>0</v>
      </c>
      <c r="T31" s="7">
        <f t="shared" si="3"/>
        <v>360</v>
      </c>
      <c r="U31" s="3">
        <v>360</v>
      </c>
      <c r="V31" s="8">
        <f t="shared" si="4"/>
        <v>0</v>
      </c>
      <c r="W31" s="8"/>
      <c r="X31" s="11">
        <f t="shared" si="5"/>
        <v>16927.193086060608</v>
      </c>
    </row>
    <row r="32" spans="1:24" ht="15.5" x14ac:dyDescent="0.35">
      <c r="A32" s="1" t="s">
        <v>90</v>
      </c>
      <c r="B32" s="2" t="s">
        <v>29</v>
      </c>
      <c r="C32" s="3" t="s">
        <v>41</v>
      </c>
      <c r="D32" s="18" t="str">
        <f t="shared" si="6"/>
        <v>mar</v>
      </c>
      <c r="E32" s="5">
        <v>45737</v>
      </c>
      <c r="F32" s="6">
        <v>45761</v>
      </c>
      <c r="G32" s="7">
        <v>20</v>
      </c>
      <c r="H32" s="7">
        <v>2360</v>
      </c>
      <c r="I32" s="7"/>
      <c r="J32" s="8">
        <v>34854.92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17744.793345454542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12028.817272727274</v>
      </c>
      <c r="M32" s="8">
        <f t="shared" si="0"/>
        <v>64628.530618181816</v>
      </c>
      <c r="N32" s="9">
        <f t="shared" si="1"/>
        <v>27.384970600924497</v>
      </c>
      <c r="O32" s="10"/>
      <c r="P32" s="3"/>
      <c r="Q32" s="3"/>
      <c r="R32" s="3"/>
      <c r="S32" s="8">
        <f t="shared" si="2"/>
        <v>0</v>
      </c>
      <c r="T32" s="7">
        <f t="shared" si="3"/>
        <v>2360</v>
      </c>
      <c r="U32" s="3">
        <v>2360</v>
      </c>
      <c r="V32" s="8">
        <f t="shared" si="4"/>
        <v>0</v>
      </c>
      <c r="W32" s="8"/>
      <c r="X32" s="11">
        <f t="shared" si="5"/>
        <v>64628.530618181816</v>
      </c>
    </row>
    <row r="33" spans="1:24" ht="15.5" x14ac:dyDescent="0.35">
      <c r="A33" s="1">
        <v>1048</v>
      </c>
      <c r="B33" s="2" t="s">
        <v>23</v>
      </c>
      <c r="C33" s="3" t="s">
        <v>91</v>
      </c>
      <c r="D33" s="18" t="str">
        <f t="shared" si="6"/>
        <v>mar</v>
      </c>
      <c r="E33" s="5">
        <v>45738</v>
      </c>
      <c r="F33" s="6">
        <v>45764</v>
      </c>
      <c r="G33" s="7">
        <v>3</v>
      </c>
      <c r="H33" s="7">
        <v>420</v>
      </c>
      <c r="I33" s="7"/>
      <c r="J33" s="8">
        <v>7870.25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4660.6806618181818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2065.6524242424243</v>
      </c>
      <c r="M33" s="8">
        <f t="shared" si="0"/>
        <v>14596.583086060606</v>
      </c>
      <c r="N33" s="9">
        <f t="shared" si="1"/>
        <v>34.753769252525252</v>
      </c>
      <c r="O33" s="10"/>
      <c r="P33" s="3"/>
      <c r="Q33" s="3"/>
      <c r="R33" s="3"/>
      <c r="S33" s="8">
        <f t="shared" si="2"/>
        <v>0</v>
      </c>
      <c r="T33" s="7">
        <f t="shared" si="3"/>
        <v>420</v>
      </c>
      <c r="U33" s="3">
        <v>420</v>
      </c>
      <c r="V33" s="8">
        <f t="shared" si="4"/>
        <v>0</v>
      </c>
      <c r="W33" s="8"/>
      <c r="X33" s="11">
        <f t="shared" si="5"/>
        <v>14596.583086060606</v>
      </c>
    </row>
    <row r="34" spans="1:24" ht="15.5" x14ac:dyDescent="0.35">
      <c r="A34" s="1">
        <v>1049</v>
      </c>
      <c r="B34" s="2" t="s">
        <v>23</v>
      </c>
      <c r="C34" s="3" t="s">
        <v>24</v>
      </c>
      <c r="D34" s="18" t="str">
        <f t="shared" si="6"/>
        <v>mar</v>
      </c>
      <c r="E34" s="5">
        <v>45742</v>
      </c>
      <c r="F34" s="6">
        <v>45755</v>
      </c>
      <c r="G34" s="7">
        <v>8</v>
      </c>
      <c r="H34" s="7">
        <v>869</v>
      </c>
      <c r="I34" s="7"/>
      <c r="J34" s="17">
        <f>11589.1+360+2750+5655.7</f>
        <v>20354.8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12428.481764848484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5508.4064646464649</v>
      </c>
      <c r="M34" s="8">
        <f t="shared" si="0"/>
        <v>38291.688229494946</v>
      </c>
      <c r="N34" s="9">
        <f t="shared" si="1"/>
        <v>44.064083117945856</v>
      </c>
      <c r="O34" s="10"/>
      <c r="P34" s="3"/>
      <c r="Q34" s="3"/>
      <c r="R34" s="3"/>
      <c r="S34" s="8">
        <f t="shared" si="2"/>
        <v>0</v>
      </c>
      <c r="T34" s="7">
        <f t="shared" si="3"/>
        <v>869</v>
      </c>
      <c r="U34" s="3">
        <v>869</v>
      </c>
      <c r="V34" s="8">
        <f t="shared" si="4"/>
        <v>0</v>
      </c>
      <c r="W34" s="8"/>
      <c r="X34" s="11">
        <f t="shared" si="5"/>
        <v>38291.688229494946</v>
      </c>
    </row>
    <row r="35" spans="1:24" ht="15.5" x14ac:dyDescent="0.35">
      <c r="A35" s="1" t="s">
        <v>92</v>
      </c>
      <c r="B35" s="2" t="s">
        <v>29</v>
      </c>
      <c r="C35" s="3" t="s">
        <v>34</v>
      </c>
      <c r="D35" s="18" t="str">
        <f t="shared" si="6"/>
        <v>mar</v>
      </c>
      <c r="E35" s="5">
        <v>45744</v>
      </c>
      <c r="F35" s="6">
        <v>45763</v>
      </c>
      <c r="G35" s="7">
        <v>40</v>
      </c>
      <c r="H35" s="7">
        <v>4785</v>
      </c>
      <c r="I35" s="7"/>
      <c r="J35" s="8">
        <v>78963.63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35489.586690909084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24057.634545454548</v>
      </c>
      <c r="M35" s="8">
        <f t="shared" si="0"/>
        <v>138510.85123636364</v>
      </c>
      <c r="N35" s="9">
        <f t="shared" si="1"/>
        <v>28.94688636078655</v>
      </c>
      <c r="O35" s="10"/>
      <c r="P35" s="3"/>
      <c r="Q35" s="3"/>
      <c r="R35" s="3"/>
      <c r="S35" s="8">
        <f t="shared" si="2"/>
        <v>0</v>
      </c>
      <c r="T35" s="7">
        <f t="shared" si="3"/>
        <v>4785</v>
      </c>
      <c r="U35" s="3">
        <v>4785</v>
      </c>
      <c r="V35" s="8">
        <f t="shared" si="4"/>
        <v>0</v>
      </c>
      <c r="W35" s="8"/>
      <c r="X35" s="11">
        <f t="shared" si="5"/>
        <v>138510.85123636364</v>
      </c>
    </row>
    <row r="36" spans="1:24" ht="15.5" x14ac:dyDescent="0.35">
      <c r="A36" s="1">
        <v>1050</v>
      </c>
      <c r="B36" s="2" t="s">
        <v>23</v>
      </c>
      <c r="C36" s="3" t="s">
        <v>35</v>
      </c>
      <c r="D36" s="18" t="str">
        <f t="shared" si="6"/>
        <v>mar</v>
      </c>
      <c r="E36" s="5">
        <v>45745</v>
      </c>
      <c r="F36" s="6">
        <v>45757</v>
      </c>
      <c r="G36" s="7">
        <v>4</v>
      </c>
      <c r="H36" s="7">
        <v>460</v>
      </c>
      <c r="I36" s="7"/>
      <c r="J36" s="8">
        <v>7045.18</v>
      </c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6214.240882424242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2754.2032323232324</v>
      </c>
      <c r="M36" s="8">
        <f t="shared" si="0"/>
        <v>16013.624114747474</v>
      </c>
      <c r="N36" s="9">
        <f t="shared" si="1"/>
        <v>34.812226336407555</v>
      </c>
      <c r="O36" s="10"/>
      <c r="P36" s="3"/>
      <c r="Q36" s="3"/>
      <c r="R36" s="3"/>
      <c r="S36" s="8">
        <f t="shared" si="2"/>
        <v>0</v>
      </c>
      <c r="T36" s="7">
        <f t="shared" si="3"/>
        <v>460</v>
      </c>
      <c r="U36" s="3">
        <v>460</v>
      </c>
      <c r="V36" s="8">
        <f t="shared" si="4"/>
        <v>0</v>
      </c>
      <c r="W36" s="8"/>
      <c r="X36" s="11">
        <f t="shared" si="5"/>
        <v>16013.624114747476</v>
      </c>
    </row>
    <row r="37" spans="1:24" ht="15.5" x14ac:dyDescent="0.35">
      <c r="A37" s="1"/>
      <c r="B37" s="2"/>
      <c r="C37" s="3"/>
      <c r="D37" s="18" t="str">
        <f t="shared" si="6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0"/>
        <v>0</v>
      </c>
      <c r="N37" s="9" t="str">
        <f t="shared" si="1"/>
        <v>N/A</v>
      </c>
      <c r="O37" s="10"/>
      <c r="P37" s="3"/>
      <c r="Q37" s="3"/>
      <c r="R37" s="3"/>
      <c r="S37" s="8">
        <f t="shared" si="2"/>
        <v>0</v>
      </c>
      <c r="T37" s="7">
        <f t="shared" si="3"/>
        <v>0</v>
      </c>
      <c r="U37" s="3"/>
      <c r="V37" s="8">
        <f t="shared" si="4"/>
        <v>0</v>
      </c>
      <c r="W37" s="8"/>
      <c r="X37" s="11">
        <f t="shared" si="5"/>
        <v>0</v>
      </c>
    </row>
    <row r="38" spans="1:24" ht="15.5" x14ac:dyDescent="0.35">
      <c r="A38" s="1"/>
      <c r="B38" s="2"/>
      <c r="C38" s="3"/>
      <c r="D38" s="18" t="str">
        <f t="shared" si="6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0"/>
        <v>0</v>
      </c>
      <c r="N38" s="9" t="str">
        <f t="shared" si="1"/>
        <v>N/A</v>
      </c>
      <c r="O38" s="10"/>
      <c r="P38" s="3"/>
      <c r="Q38" s="3"/>
      <c r="R38" s="3"/>
      <c r="S38" s="8">
        <f t="shared" si="2"/>
        <v>0</v>
      </c>
      <c r="T38" s="7">
        <f t="shared" si="3"/>
        <v>0</v>
      </c>
      <c r="U38" s="3"/>
      <c r="V38" s="8">
        <f t="shared" si="4"/>
        <v>0</v>
      </c>
      <c r="W38" s="8"/>
      <c r="X38" s="11">
        <f t="shared" si="5"/>
        <v>0</v>
      </c>
    </row>
    <row r="39" spans="1:24" ht="15.5" x14ac:dyDescent="0.35">
      <c r="A39" s="1"/>
      <c r="B39" s="2"/>
      <c r="C39" s="3"/>
      <c r="D39" s="18" t="str">
        <f t="shared" si="6"/>
        <v>-</v>
      </c>
      <c r="E39" s="20"/>
      <c r="F39" s="7"/>
      <c r="G39" s="7"/>
      <c r="H39" s="7"/>
      <c r="I39" s="7"/>
      <c r="J39" s="8"/>
      <c r="K39" s="8">
        <f>IFERROR(((SUMIFS(MOIndirectos!$E$34:$E$132,MOIndirectos!$B$34:$B$132,"Mano de Obra",MOIndirectos!$C$34:$C$132,$D39,MOIndirectos!$D$34:$D$132,$B39))/(SUMIFS(MOIndirectos!$E$34:$E$132,MOIndirectos!$B$34:$B$132,"Produccion",MOIndirectos!$C$34:$C$132,$D39,MOIndirectos!$D$34:$D$132,$B39))*$G39),0)</f>
        <v>0</v>
      </c>
      <c r="L39" s="8">
        <f>IFERROR(((SUMIFS(MOIndirectos!$E$34:$E$132,MOIndirectos!$B$34:$B$132,"Indirectos",MOIndirectos!$C$34:$C$132,$D39,MOIndirectos!$D$34:$D$132,$B39))/(SUMIFS(MOIndirectos!$E$34:$E$132,MOIndirectos!$B$34:$B$132,"Produccion",MOIndirectos!$C$34:$C$132,$D39,MOIndirectos!$D$34:$D$132,$B39))*$G39),0)</f>
        <v>0</v>
      </c>
      <c r="M39" s="8">
        <f t="shared" si="0"/>
        <v>0</v>
      </c>
      <c r="N39" s="9" t="str">
        <f t="shared" si="1"/>
        <v>N/A</v>
      </c>
      <c r="O39" s="10"/>
      <c r="P39" s="3"/>
      <c r="Q39" s="3"/>
      <c r="R39" s="3"/>
      <c r="S39" s="8">
        <f t="shared" si="2"/>
        <v>0</v>
      </c>
      <c r="T39" s="7">
        <f t="shared" si="3"/>
        <v>0</v>
      </c>
      <c r="U39" s="3"/>
      <c r="V39" s="8">
        <f t="shared" si="4"/>
        <v>0</v>
      </c>
      <c r="W39" s="8"/>
      <c r="X39" s="11">
        <f t="shared" si="5"/>
        <v>0</v>
      </c>
    </row>
    <row r="41" spans="1:24" ht="15.75" customHeight="1" x14ac:dyDescent="0.25">
      <c r="F41" s="22"/>
      <c r="H41" s="21" t="s">
        <v>31</v>
      </c>
      <c r="I41" s="22" t="s">
        <v>93</v>
      </c>
      <c r="J41" s="22">
        <f>SUMIF(D2:D39,I41,J2:J39)</f>
        <v>339351.41999999993</v>
      </c>
      <c r="K41" s="22"/>
      <c r="M41" s="22">
        <f>SUMIF(D2:D39,I41,M2:M39)</f>
        <v>618888.07999999996</v>
      </c>
      <c r="N41" s="22" t="str">
        <f>IFERROR(AVERAGEIFS(N2:N36,D2:D36,I41,C2:C36,H41),"")</f>
        <v/>
      </c>
    </row>
    <row r="42" spans="1:24" ht="15.75" customHeight="1" x14ac:dyDescent="0.25">
      <c r="J42" s="22"/>
      <c r="U42" s="21" t="s">
        <v>61</v>
      </c>
      <c r="V42" s="21" t="s">
        <v>62</v>
      </c>
    </row>
    <row r="43" spans="1:24" ht="15.75" customHeight="1" x14ac:dyDescent="0.25">
      <c r="F43" s="22"/>
      <c r="S43" s="21">
        <f t="shared" ref="S43:S44" si="7">W43*200</f>
        <v>1883.2</v>
      </c>
      <c r="T43" s="21" t="s">
        <v>63</v>
      </c>
      <c r="U43" s="21">
        <v>500</v>
      </c>
      <c r="V43" s="21">
        <f>9416/2</f>
        <v>4708</v>
      </c>
      <c r="W43" s="21">
        <f t="shared" ref="W43:W44" si="8">V43/U43</f>
        <v>9.4160000000000004</v>
      </c>
    </row>
    <row r="44" spans="1:24" ht="15.75" customHeight="1" x14ac:dyDescent="0.25">
      <c r="G44" s="22"/>
      <c r="I44" s="21" t="s">
        <v>64</v>
      </c>
      <c r="J44" s="21" t="s">
        <v>65</v>
      </c>
      <c r="K44" s="21" t="s">
        <v>66</v>
      </c>
      <c r="L44" s="21" t="s">
        <v>67</v>
      </c>
      <c r="M44" s="21" t="s">
        <v>68</v>
      </c>
      <c r="N44" s="21" t="s">
        <v>69</v>
      </c>
      <c r="O44" s="21" t="s">
        <v>70</v>
      </c>
      <c r="P44" s="21"/>
      <c r="Q44" s="21"/>
      <c r="R44" s="21" t="s">
        <v>71</v>
      </c>
      <c r="S44" s="21">
        <f t="shared" si="7"/>
        <v>3772.4869565217391</v>
      </c>
      <c r="T44" s="21" t="s">
        <v>72</v>
      </c>
      <c r="U44" s="21">
        <v>460</v>
      </c>
      <c r="V44" s="21">
        <v>8676.7199999999993</v>
      </c>
      <c r="W44" s="21">
        <f t="shared" si="8"/>
        <v>18.862434782608695</v>
      </c>
    </row>
    <row r="45" spans="1:24" ht="15.5" x14ac:dyDescent="0.35">
      <c r="E45" s="22"/>
      <c r="F45" s="23"/>
      <c r="G45" s="21">
        <f t="shared" ref="G45:G49" si="9">SUM(I45:R45)</f>
        <v>300</v>
      </c>
      <c r="H45" s="21" t="s">
        <v>56</v>
      </c>
      <c r="I45" s="24">
        <v>300</v>
      </c>
      <c r="J45" s="24"/>
      <c r="K45" s="24"/>
      <c r="L45" s="24"/>
      <c r="M45" s="24"/>
      <c r="N45" s="24"/>
      <c r="O45" s="24"/>
      <c r="P45" s="24"/>
      <c r="Q45" s="24"/>
      <c r="R45" s="24"/>
      <c r="S45" s="21">
        <f>ROUND(S44+S43,2)</f>
        <v>5655.69</v>
      </c>
    </row>
    <row r="46" spans="1:24" ht="15.75" customHeight="1" x14ac:dyDescent="0.25">
      <c r="E46" s="22"/>
      <c r="G46" s="21">
        <f t="shared" si="9"/>
        <v>8765.7000000000007</v>
      </c>
      <c r="H46" s="21" t="s">
        <v>24</v>
      </c>
      <c r="I46" s="24">
        <v>360</v>
      </c>
      <c r="J46" s="24">
        <v>5655.7</v>
      </c>
      <c r="K46" s="24">
        <v>2750</v>
      </c>
      <c r="L46" s="24"/>
      <c r="M46" s="24"/>
      <c r="N46" s="24"/>
      <c r="O46" s="24"/>
      <c r="P46" s="24"/>
      <c r="Q46" s="24"/>
      <c r="R46" s="24"/>
      <c r="S46" s="21">
        <f>S45/2</f>
        <v>2827.8449999999998</v>
      </c>
    </row>
    <row r="47" spans="1:24" ht="15.75" customHeight="1" x14ac:dyDescent="0.25">
      <c r="E47" s="22"/>
      <c r="G47" s="21">
        <f t="shared" si="9"/>
        <v>0</v>
      </c>
      <c r="H47" s="22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24" ht="15.75" customHeight="1" x14ac:dyDescent="0.25">
      <c r="E48" s="22"/>
      <c r="G48" s="21">
        <f t="shared" si="9"/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3:18" ht="15.75" customHeight="1" x14ac:dyDescent="0.25">
      <c r="E49" s="22"/>
      <c r="G49" s="21">
        <f t="shared" si="9"/>
        <v>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2" spans="3:18" ht="15.75" customHeight="1" x14ac:dyDescent="0.25">
      <c r="J52" s="22"/>
    </row>
    <row r="56" spans="3:18" ht="15.75" customHeight="1" x14ac:dyDescent="0.25">
      <c r="C56" s="26"/>
    </row>
  </sheetData>
  <conditionalFormatting sqref="N2:N39">
    <cfRule type="cellIs" dxfId="17" priority="1" operator="greaterThan">
      <formula>60</formula>
    </cfRule>
    <cfRule type="cellIs" dxfId="16" priority="2" operator="greaterThan">
      <formula>45</formula>
    </cfRule>
  </conditionalFormatting>
  <dataValidations count="1">
    <dataValidation type="list" allowBlank="1" showErrorMessage="1" sqref="B2:B39" xr:uid="{00000000-0002-0000-02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55"/>
  <sheetViews>
    <sheetView topLeftCell="A3" workbookViewId="0">
      <pane xSplit="3" topLeftCell="H1" activePane="topRight" state="frozen"/>
      <selection pane="topRight" activeCell="W38" sqref="W38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 t="s">
        <v>58</v>
      </c>
      <c r="B2" s="2" t="s">
        <v>29</v>
      </c>
      <c r="C2" s="3" t="s">
        <v>59</v>
      </c>
      <c r="D2" s="18" t="str">
        <f t="shared" ref="D2:D38" si="0">IF(E2="","-",(TEXT(E2,"MMM")))</f>
        <v>ene</v>
      </c>
      <c r="E2" s="5">
        <v>45688</v>
      </c>
      <c r="F2" s="6">
        <v>45722</v>
      </c>
      <c r="G2" s="7">
        <v>20</v>
      </c>
      <c r="H2" s="7">
        <v>2481</v>
      </c>
      <c r="I2" s="3">
        <v>966</v>
      </c>
      <c r="J2" s="8">
        <v>33327.93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14626.451335087097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10468.323357879235</v>
      </c>
      <c r="M2" s="8">
        <f t="shared" ref="M2:M38" si="1">J2+K2+L2</f>
        <v>58422.704692966334</v>
      </c>
      <c r="N2" s="9">
        <f t="shared" ref="N2:N38" si="2">IF(H2&gt;0,M2/H2,"N/A")</f>
        <v>23.548047034649873</v>
      </c>
      <c r="O2" s="10">
        <v>634</v>
      </c>
      <c r="P2" s="3">
        <v>240</v>
      </c>
      <c r="Q2" s="3"/>
      <c r="R2" s="3">
        <v>100</v>
      </c>
      <c r="S2" s="8">
        <f t="shared" ref="S2:S38" si="3">IF(N2="N/A",0,(O2+P2+Q2+R2)*N2)</f>
        <v>22935.797811748977</v>
      </c>
      <c r="T2" s="7">
        <f t="shared" ref="T2:T38" si="4">IF(I2=0,H2-O2-P2-Q2-R2,I2-O2-P2-Q2-R2)</f>
        <v>-8</v>
      </c>
      <c r="U2" s="3">
        <v>0</v>
      </c>
      <c r="V2" s="8">
        <f t="shared" ref="V2:V38" si="5">IF(N2="N/A",0,((T2-U2)*N2)-W2)</f>
        <v>-188.38437627719898</v>
      </c>
      <c r="W2" s="8"/>
      <c r="X2" s="11">
        <f t="shared" ref="X2:X38" si="6">IF(N2="N/A",0,U2*N2)</f>
        <v>0</v>
      </c>
    </row>
    <row r="3" spans="1:24" ht="15.5" x14ac:dyDescent="0.35">
      <c r="A3" s="1" t="s">
        <v>78</v>
      </c>
      <c r="B3" s="2" t="s">
        <v>29</v>
      </c>
      <c r="C3" s="3" t="s">
        <v>47</v>
      </c>
      <c r="D3" s="18" t="str">
        <f t="shared" si="0"/>
        <v>feb</v>
      </c>
      <c r="E3" s="5">
        <v>45695</v>
      </c>
      <c r="F3" s="6">
        <v>45708</v>
      </c>
      <c r="G3" s="7">
        <v>20</v>
      </c>
      <c r="H3" s="7">
        <v>2434</v>
      </c>
      <c r="I3" s="3">
        <v>421</v>
      </c>
      <c r="J3" s="8">
        <v>20731.810000000001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31256.293318712575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28674.898413173654</v>
      </c>
      <c r="M3" s="8">
        <f t="shared" si="1"/>
        <v>80663.001731886223</v>
      </c>
      <c r="N3" s="9">
        <f t="shared" si="2"/>
        <v>33.140099314661555</v>
      </c>
      <c r="O3" s="10">
        <v>186</v>
      </c>
      <c r="P3" s="3">
        <v>300</v>
      </c>
      <c r="Q3" s="3"/>
      <c r="R3" s="3">
        <v>40</v>
      </c>
      <c r="S3" s="8">
        <f t="shared" si="3"/>
        <v>17431.692239511976</v>
      </c>
      <c r="T3" s="28">
        <f t="shared" si="4"/>
        <v>-105</v>
      </c>
      <c r="U3" s="3">
        <v>0</v>
      </c>
      <c r="V3" s="8">
        <f t="shared" si="5"/>
        <v>-3479.7104280394633</v>
      </c>
      <c r="W3" s="8"/>
      <c r="X3" s="11">
        <f t="shared" si="6"/>
        <v>0</v>
      </c>
    </row>
    <row r="4" spans="1:24" ht="15.5" x14ac:dyDescent="0.35">
      <c r="A4" s="1" t="s">
        <v>81</v>
      </c>
      <c r="B4" s="2" t="s">
        <v>29</v>
      </c>
      <c r="C4" s="3" t="s">
        <v>39</v>
      </c>
      <c r="D4" s="18" t="str">
        <f t="shared" si="0"/>
        <v>feb</v>
      </c>
      <c r="E4" s="5">
        <v>45712</v>
      </c>
      <c r="F4" s="6">
        <v>45730</v>
      </c>
      <c r="G4" s="7">
        <v>20</v>
      </c>
      <c r="H4" s="7">
        <v>2430</v>
      </c>
      <c r="I4" s="3">
        <v>417</v>
      </c>
      <c r="J4" s="8">
        <v>24281.58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31256.293318712575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28674.898413173654</v>
      </c>
      <c r="M4" s="8">
        <f t="shared" si="1"/>
        <v>84212.771731886227</v>
      </c>
      <c r="N4" s="9">
        <f t="shared" si="2"/>
        <v>34.655461618060173</v>
      </c>
      <c r="O4" s="10">
        <v>174</v>
      </c>
      <c r="P4" s="3">
        <v>120</v>
      </c>
      <c r="Q4" s="3"/>
      <c r="R4" s="3">
        <v>100</v>
      </c>
      <c r="S4" s="8">
        <f t="shared" si="3"/>
        <v>13654.251877515708</v>
      </c>
      <c r="T4" s="7">
        <f t="shared" si="4"/>
        <v>23</v>
      </c>
      <c r="U4" s="3">
        <v>0</v>
      </c>
      <c r="V4" s="8">
        <f t="shared" si="5"/>
        <v>797.075617215384</v>
      </c>
      <c r="W4" s="8"/>
      <c r="X4" s="11">
        <f t="shared" si="6"/>
        <v>0</v>
      </c>
    </row>
    <row r="5" spans="1:24" ht="15.5" x14ac:dyDescent="0.35">
      <c r="A5" s="1">
        <v>1040</v>
      </c>
      <c r="B5" s="2" t="s">
        <v>23</v>
      </c>
      <c r="C5" s="3" t="s">
        <v>83</v>
      </c>
      <c r="D5" s="18" t="str">
        <f t="shared" si="0"/>
        <v>feb</v>
      </c>
      <c r="E5" s="5">
        <v>45715</v>
      </c>
      <c r="F5" s="6">
        <v>45744</v>
      </c>
      <c r="G5" s="7">
        <v>4</v>
      </c>
      <c r="H5" s="7">
        <v>464</v>
      </c>
      <c r="I5" s="3">
        <v>300</v>
      </c>
      <c r="J5" s="8">
        <v>7549.7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10021.135463225273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2955.3584527496732</v>
      </c>
      <c r="M5" s="8">
        <f t="shared" si="1"/>
        <v>20526.193915974945</v>
      </c>
      <c r="N5" s="9">
        <f t="shared" si="2"/>
        <v>44.23748688787704</v>
      </c>
      <c r="O5" s="10">
        <v>335</v>
      </c>
      <c r="P5" s="3"/>
      <c r="Q5" s="3"/>
      <c r="R5" s="3"/>
      <c r="S5" s="8">
        <f t="shared" si="3"/>
        <v>14819.558107438808</v>
      </c>
      <c r="T5" s="7">
        <f t="shared" si="4"/>
        <v>-35</v>
      </c>
      <c r="U5" s="3">
        <v>0</v>
      </c>
      <c r="V5" s="8">
        <f t="shared" si="5"/>
        <v>-1548.3120410756965</v>
      </c>
      <c r="W5" s="8"/>
      <c r="X5" s="11">
        <f t="shared" si="6"/>
        <v>0</v>
      </c>
    </row>
    <row r="6" spans="1:24" ht="15.5" x14ac:dyDescent="0.35">
      <c r="A6" s="1" t="s">
        <v>88</v>
      </c>
      <c r="B6" s="2" t="s">
        <v>29</v>
      </c>
      <c r="C6" s="3" t="s">
        <v>34</v>
      </c>
      <c r="D6" s="18" t="str">
        <f t="shared" si="0"/>
        <v>mar</v>
      </c>
      <c r="E6" s="5">
        <v>45721</v>
      </c>
      <c r="F6" s="6">
        <v>45737</v>
      </c>
      <c r="G6" s="7">
        <v>40</v>
      </c>
      <c r="H6" s="7">
        <v>4500</v>
      </c>
      <c r="I6" s="3">
        <v>2175</v>
      </c>
      <c r="J6" s="8">
        <v>77384.98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35489.586690909084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24057.634545454548</v>
      </c>
      <c r="M6" s="8">
        <f t="shared" si="1"/>
        <v>136932.20123636362</v>
      </c>
      <c r="N6" s="9">
        <f t="shared" si="2"/>
        <v>30.429378052525248</v>
      </c>
      <c r="O6" s="10">
        <v>1105</v>
      </c>
      <c r="P6" s="3">
        <v>600</v>
      </c>
      <c r="Q6" s="3"/>
      <c r="R6" s="3">
        <v>470</v>
      </c>
      <c r="S6" s="8">
        <f t="shared" si="3"/>
        <v>66183.89726424242</v>
      </c>
      <c r="T6" s="7">
        <f t="shared" si="4"/>
        <v>0</v>
      </c>
      <c r="U6" s="3">
        <v>0</v>
      </c>
      <c r="V6" s="8">
        <f t="shared" si="5"/>
        <v>0</v>
      </c>
      <c r="W6" s="8"/>
      <c r="X6" s="11">
        <f t="shared" si="6"/>
        <v>0</v>
      </c>
    </row>
    <row r="7" spans="1:24" ht="15.5" x14ac:dyDescent="0.35">
      <c r="A7" s="1">
        <v>1042</v>
      </c>
      <c r="B7" s="2" t="s">
        <v>23</v>
      </c>
      <c r="C7" s="3" t="s">
        <v>56</v>
      </c>
      <c r="D7" s="18" t="str">
        <f t="shared" si="0"/>
        <v>mar</v>
      </c>
      <c r="E7" s="5">
        <v>45722</v>
      </c>
      <c r="F7" s="6">
        <v>45737</v>
      </c>
      <c r="G7" s="7">
        <v>6</v>
      </c>
      <c r="H7" s="7">
        <v>715</v>
      </c>
      <c r="I7" s="3">
        <v>240</v>
      </c>
      <c r="J7" s="8">
        <f>19483.43+300</f>
        <v>19783.43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9321.3613236363635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4131.3048484848487</v>
      </c>
      <c r="M7" s="8">
        <f t="shared" si="1"/>
        <v>33236.096172121215</v>
      </c>
      <c r="N7" s="9">
        <f t="shared" si="2"/>
        <v>46.484050590379319</v>
      </c>
      <c r="O7" s="10">
        <v>154</v>
      </c>
      <c r="P7" s="3"/>
      <c r="Q7" s="3"/>
      <c r="R7" s="3">
        <v>80</v>
      </c>
      <c r="S7" s="8">
        <f t="shared" si="3"/>
        <v>10877.26783814876</v>
      </c>
      <c r="T7" s="7">
        <f t="shared" si="4"/>
        <v>6</v>
      </c>
      <c r="U7" s="3">
        <v>0</v>
      </c>
      <c r="V7" s="8">
        <f t="shared" si="5"/>
        <v>278.9043035422759</v>
      </c>
      <c r="W7" s="8"/>
      <c r="X7" s="11">
        <f t="shared" si="6"/>
        <v>0</v>
      </c>
    </row>
    <row r="8" spans="1:24" ht="15.5" x14ac:dyDescent="0.35">
      <c r="A8" s="1">
        <v>1044</v>
      </c>
      <c r="B8" s="2" t="s">
        <v>23</v>
      </c>
      <c r="C8" s="3" t="s">
        <v>41</v>
      </c>
      <c r="D8" s="18" t="str">
        <f t="shared" si="0"/>
        <v>mar</v>
      </c>
      <c r="E8" s="5">
        <v>45728</v>
      </c>
      <c r="F8" s="6">
        <v>45748</v>
      </c>
      <c r="G8" s="7">
        <v>8</v>
      </c>
      <c r="H8" s="7">
        <v>883</v>
      </c>
      <c r="I8" s="7"/>
      <c r="J8" s="8">
        <v>17419.37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12428.481764848484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5508.4064646464649</v>
      </c>
      <c r="M8" s="8">
        <f t="shared" si="1"/>
        <v>35356.258229494953</v>
      </c>
      <c r="N8" s="9">
        <f t="shared" si="2"/>
        <v>40.041062547559406</v>
      </c>
      <c r="O8" s="10">
        <v>556</v>
      </c>
      <c r="P8" s="3">
        <v>283</v>
      </c>
      <c r="Q8" s="3"/>
      <c r="R8" s="3">
        <v>40</v>
      </c>
      <c r="S8" s="8">
        <f t="shared" si="3"/>
        <v>35196.093979304715</v>
      </c>
      <c r="T8" s="7">
        <f t="shared" si="4"/>
        <v>4</v>
      </c>
      <c r="U8" s="3">
        <v>0</v>
      </c>
      <c r="V8" s="8">
        <f t="shared" si="5"/>
        <v>160.16425019023762</v>
      </c>
      <c r="W8" s="8"/>
      <c r="X8" s="11">
        <f t="shared" si="6"/>
        <v>0</v>
      </c>
    </row>
    <row r="9" spans="1:24" ht="15.5" x14ac:dyDescent="0.35">
      <c r="A9" s="1" t="s">
        <v>89</v>
      </c>
      <c r="B9" s="2" t="s">
        <v>29</v>
      </c>
      <c r="C9" s="3" t="s">
        <v>47</v>
      </c>
      <c r="D9" s="18" t="str">
        <f t="shared" si="0"/>
        <v>mar</v>
      </c>
      <c r="E9" s="5">
        <v>45729</v>
      </c>
      <c r="F9" s="6">
        <v>45747</v>
      </c>
      <c r="G9" s="7">
        <v>20</v>
      </c>
      <c r="H9" s="7">
        <v>2425</v>
      </c>
      <c r="I9" s="7"/>
      <c r="J9" s="8">
        <v>28497.1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17744.793345454542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12028.817272727274</v>
      </c>
      <c r="M9" s="8">
        <f t="shared" si="1"/>
        <v>58270.710618181816</v>
      </c>
      <c r="N9" s="9">
        <f t="shared" si="2"/>
        <v>24.029159017806936</v>
      </c>
      <c r="O9" s="10">
        <v>1188</v>
      </c>
      <c r="P9" s="3">
        <v>300</v>
      </c>
      <c r="Q9" s="3"/>
      <c r="R9" s="3">
        <v>250</v>
      </c>
      <c r="S9" s="8">
        <f t="shared" si="3"/>
        <v>41762.678372948452</v>
      </c>
      <c r="T9" s="7">
        <f t="shared" si="4"/>
        <v>687</v>
      </c>
      <c r="U9" s="3">
        <v>687</v>
      </c>
      <c r="V9" s="8">
        <f t="shared" si="5"/>
        <v>0</v>
      </c>
      <c r="W9" s="8"/>
      <c r="X9" s="11">
        <f t="shared" si="6"/>
        <v>16508.032245233364</v>
      </c>
    </row>
    <row r="10" spans="1:24" ht="15.5" x14ac:dyDescent="0.35">
      <c r="A10" s="1">
        <v>1045</v>
      </c>
      <c r="B10" s="2" t="s">
        <v>23</v>
      </c>
      <c r="C10" s="3" t="s">
        <v>40</v>
      </c>
      <c r="D10" s="18" t="str">
        <f t="shared" si="0"/>
        <v>mar</v>
      </c>
      <c r="E10" s="5">
        <v>45730</v>
      </c>
      <c r="F10" s="6">
        <v>45747</v>
      </c>
      <c r="G10" s="7">
        <v>3</v>
      </c>
      <c r="H10" s="7">
        <v>394</v>
      </c>
      <c r="I10" s="7"/>
      <c r="J10" s="8">
        <v>10616.18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4660.6806618181818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2065.6524242424243</v>
      </c>
      <c r="M10" s="8">
        <f t="shared" si="1"/>
        <v>17342.513086060608</v>
      </c>
      <c r="N10" s="9">
        <f t="shared" si="2"/>
        <v>44.016530675280727</v>
      </c>
      <c r="O10" s="10">
        <v>240</v>
      </c>
      <c r="P10" s="3">
        <v>154</v>
      </c>
      <c r="Q10" s="3"/>
      <c r="R10" s="3"/>
      <c r="S10" s="8">
        <f t="shared" si="3"/>
        <v>17342.513086060608</v>
      </c>
      <c r="T10" s="7">
        <f t="shared" si="4"/>
        <v>0</v>
      </c>
      <c r="U10" s="3">
        <v>0</v>
      </c>
      <c r="V10" s="8">
        <f t="shared" si="5"/>
        <v>0</v>
      </c>
      <c r="W10" s="8"/>
      <c r="X10" s="11">
        <f t="shared" si="6"/>
        <v>0</v>
      </c>
    </row>
    <row r="11" spans="1:24" ht="15.5" x14ac:dyDescent="0.35">
      <c r="A11" s="1">
        <v>1046</v>
      </c>
      <c r="B11" s="2" t="s">
        <v>23</v>
      </c>
      <c r="C11" s="3" t="s">
        <v>32</v>
      </c>
      <c r="D11" s="18" t="str">
        <f t="shared" si="0"/>
        <v>mar</v>
      </c>
      <c r="E11" s="5">
        <v>45735</v>
      </c>
      <c r="F11" s="6">
        <v>45752</v>
      </c>
      <c r="G11" s="7">
        <v>3</v>
      </c>
      <c r="H11" s="7">
        <v>324</v>
      </c>
      <c r="I11" s="7"/>
      <c r="J11" s="8">
        <v>10432.93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4660.6806618181818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2065.6524242424243</v>
      </c>
      <c r="M11" s="8">
        <f t="shared" si="1"/>
        <v>17159.263086060608</v>
      </c>
      <c r="N11" s="9">
        <f t="shared" si="2"/>
        <v>52.960688537224101</v>
      </c>
      <c r="O11" s="10">
        <v>180</v>
      </c>
      <c r="P11" s="3">
        <v>144</v>
      </c>
      <c r="Q11" s="3"/>
      <c r="R11" s="3"/>
      <c r="S11" s="8">
        <f t="shared" si="3"/>
        <v>17159.263086060608</v>
      </c>
      <c r="T11" s="7">
        <f t="shared" si="4"/>
        <v>0</v>
      </c>
      <c r="U11" s="3">
        <v>0</v>
      </c>
      <c r="V11" s="8">
        <f t="shared" si="5"/>
        <v>0</v>
      </c>
      <c r="W11" s="8"/>
      <c r="X11" s="11">
        <f t="shared" si="6"/>
        <v>0</v>
      </c>
    </row>
    <row r="12" spans="1:24" ht="15.5" x14ac:dyDescent="0.35">
      <c r="A12" s="1">
        <v>1047</v>
      </c>
      <c r="B12" s="2" t="s">
        <v>23</v>
      </c>
      <c r="C12" s="3" t="s">
        <v>49</v>
      </c>
      <c r="D12" s="18" t="str">
        <f t="shared" si="0"/>
        <v>mar</v>
      </c>
      <c r="E12" s="5">
        <v>45736</v>
      </c>
      <c r="F12" s="6">
        <v>45754</v>
      </c>
      <c r="G12" s="7">
        <v>3</v>
      </c>
      <c r="H12" s="7">
        <v>360</v>
      </c>
      <c r="I12" s="7"/>
      <c r="J12" s="8">
        <v>10200.86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4660.6806618181818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2065.6524242424243</v>
      </c>
      <c r="M12" s="8">
        <f t="shared" si="1"/>
        <v>16927.193086060608</v>
      </c>
      <c r="N12" s="9">
        <f t="shared" si="2"/>
        <v>47.019980794612799</v>
      </c>
      <c r="O12" s="10">
        <v>196</v>
      </c>
      <c r="P12" s="3">
        <v>120</v>
      </c>
      <c r="Q12" s="3"/>
      <c r="R12" s="3">
        <v>40</v>
      </c>
      <c r="S12" s="8">
        <f t="shared" si="3"/>
        <v>16739.113162882157</v>
      </c>
      <c r="T12" s="7">
        <f t="shared" si="4"/>
        <v>4</v>
      </c>
      <c r="U12" s="3">
        <v>0</v>
      </c>
      <c r="V12" s="8">
        <f t="shared" si="5"/>
        <v>188.0799231784512</v>
      </c>
      <c r="W12" s="8"/>
      <c r="X12" s="11">
        <f t="shared" si="6"/>
        <v>0</v>
      </c>
    </row>
    <row r="13" spans="1:24" ht="15.5" x14ac:dyDescent="0.35">
      <c r="A13" s="1" t="s">
        <v>90</v>
      </c>
      <c r="B13" s="2" t="s">
        <v>29</v>
      </c>
      <c r="C13" s="3" t="s">
        <v>41</v>
      </c>
      <c r="D13" s="18" t="str">
        <f t="shared" si="0"/>
        <v>mar</v>
      </c>
      <c r="E13" s="5">
        <v>45737</v>
      </c>
      <c r="F13" s="6">
        <v>45761</v>
      </c>
      <c r="G13" s="7">
        <v>20</v>
      </c>
      <c r="H13" s="7">
        <v>2360</v>
      </c>
      <c r="I13" s="7"/>
      <c r="J13" s="8">
        <v>34854.92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17744.793345454542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12028.817272727274</v>
      </c>
      <c r="M13" s="8">
        <f t="shared" si="1"/>
        <v>64628.530618181816</v>
      </c>
      <c r="N13" s="9">
        <f t="shared" si="2"/>
        <v>27.384970600924497</v>
      </c>
      <c r="O13" s="10">
        <v>948</v>
      </c>
      <c r="P13" s="3">
        <v>540</v>
      </c>
      <c r="Q13" s="3"/>
      <c r="R13" s="3">
        <v>20</v>
      </c>
      <c r="S13" s="8">
        <f t="shared" si="3"/>
        <v>41296.535666194141</v>
      </c>
      <c r="T13" s="7">
        <f t="shared" si="4"/>
        <v>852</v>
      </c>
      <c r="U13" s="3">
        <v>850</v>
      </c>
      <c r="V13" s="8">
        <f t="shared" si="5"/>
        <v>54.769941201848994</v>
      </c>
      <c r="W13" s="8"/>
      <c r="X13" s="11">
        <f t="shared" si="6"/>
        <v>23277.225010785824</v>
      </c>
    </row>
    <row r="14" spans="1:24" ht="15.5" x14ac:dyDescent="0.35">
      <c r="A14" s="1">
        <v>1048</v>
      </c>
      <c r="B14" s="2" t="s">
        <v>23</v>
      </c>
      <c r="C14" s="3" t="s">
        <v>91</v>
      </c>
      <c r="D14" s="18" t="str">
        <f t="shared" si="0"/>
        <v>mar</v>
      </c>
      <c r="E14" s="5">
        <v>45738</v>
      </c>
      <c r="F14" s="6">
        <v>45764</v>
      </c>
      <c r="G14" s="7">
        <v>3</v>
      </c>
      <c r="H14" s="7">
        <v>420</v>
      </c>
      <c r="I14" s="7"/>
      <c r="J14" s="8">
        <v>7870.25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4660.6806618181818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2065.6524242424243</v>
      </c>
      <c r="M14" s="8">
        <f t="shared" si="1"/>
        <v>14596.583086060606</v>
      </c>
      <c r="N14" s="9">
        <f t="shared" si="2"/>
        <v>34.753769252525252</v>
      </c>
      <c r="O14" s="10">
        <v>0</v>
      </c>
      <c r="P14" s="3"/>
      <c r="Q14" s="3"/>
      <c r="R14" s="3"/>
      <c r="S14" s="8">
        <f t="shared" si="3"/>
        <v>0</v>
      </c>
      <c r="T14" s="7">
        <f t="shared" si="4"/>
        <v>420</v>
      </c>
      <c r="U14" s="3">
        <v>420</v>
      </c>
      <c r="V14" s="8">
        <f t="shared" si="5"/>
        <v>0</v>
      </c>
      <c r="W14" s="8"/>
      <c r="X14" s="11">
        <f t="shared" si="6"/>
        <v>14596.583086060606</v>
      </c>
    </row>
    <row r="15" spans="1:24" ht="15.5" x14ac:dyDescent="0.35">
      <c r="A15" s="1">
        <v>1049</v>
      </c>
      <c r="B15" s="2" t="s">
        <v>23</v>
      </c>
      <c r="C15" s="3" t="s">
        <v>24</v>
      </c>
      <c r="D15" s="18" t="str">
        <f t="shared" si="0"/>
        <v>mar</v>
      </c>
      <c r="E15" s="5">
        <v>45742</v>
      </c>
      <c r="F15" s="6">
        <v>45755</v>
      </c>
      <c r="G15" s="7">
        <v>8</v>
      </c>
      <c r="H15" s="7">
        <v>869</v>
      </c>
      <c r="I15" s="7"/>
      <c r="J15" s="8">
        <f>11589.1+360+2750+5655.7</f>
        <v>20354.8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12428.481764848484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5508.4064646464649</v>
      </c>
      <c r="M15" s="8">
        <f t="shared" si="1"/>
        <v>38291.688229494946</v>
      </c>
      <c r="N15" s="9">
        <f t="shared" si="2"/>
        <v>44.064083117945856</v>
      </c>
      <c r="O15" s="10">
        <v>678</v>
      </c>
      <c r="P15" s="3">
        <v>129</v>
      </c>
      <c r="Q15" s="3"/>
      <c r="R15" s="3">
        <v>60</v>
      </c>
      <c r="S15" s="8">
        <f t="shared" si="3"/>
        <v>38203.560063259058</v>
      </c>
      <c r="T15" s="7">
        <f t="shared" si="4"/>
        <v>2</v>
      </c>
      <c r="U15" s="3">
        <v>0</v>
      </c>
      <c r="V15" s="8">
        <f t="shared" si="5"/>
        <v>88.128166235891712</v>
      </c>
      <c r="W15" s="8"/>
      <c r="X15" s="11">
        <f t="shared" si="6"/>
        <v>0</v>
      </c>
    </row>
    <row r="16" spans="1:24" ht="15.5" x14ac:dyDescent="0.35">
      <c r="A16" s="1" t="s">
        <v>92</v>
      </c>
      <c r="B16" s="2" t="s">
        <v>29</v>
      </c>
      <c r="C16" s="3" t="s">
        <v>34</v>
      </c>
      <c r="D16" s="18" t="str">
        <f t="shared" si="0"/>
        <v>mar</v>
      </c>
      <c r="E16" s="5">
        <v>45744</v>
      </c>
      <c r="F16" s="6">
        <v>45763</v>
      </c>
      <c r="G16" s="7">
        <v>40</v>
      </c>
      <c r="H16" s="7">
        <v>4785</v>
      </c>
      <c r="I16" s="7"/>
      <c r="J16" s="8">
        <v>78963.63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35489.586690909084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24057.634545454548</v>
      </c>
      <c r="M16" s="8">
        <f t="shared" si="1"/>
        <v>138510.85123636364</v>
      </c>
      <c r="N16" s="9">
        <f t="shared" si="2"/>
        <v>28.94688636078655</v>
      </c>
      <c r="O16" s="10">
        <v>1320</v>
      </c>
      <c r="P16" s="3">
        <v>780</v>
      </c>
      <c r="Q16" s="3"/>
      <c r="R16" s="3">
        <v>890</v>
      </c>
      <c r="S16" s="8">
        <f t="shared" si="3"/>
        <v>86551.190218751784</v>
      </c>
      <c r="T16" s="7">
        <f t="shared" si="4"/>
        <v>1795</v>
      </c>
      <c r="U16" s="3">
        <v>1795</v>
      </c>
      <c r="V16" s="8">
        <f t="shared" si="5"/>
        <v>0</v>
      </c>
      <c r="W16" s="8"/>
      <c r="X16" s="11">
        <f t="shared" si="6"/>
        <v>51959.661017611856</v>
      </c>
    </row>
    <row r="17" spans="1:24" ht="15.5" x14ac:dyDescent="0.35">
      <c r="A17" s="1">
        <v>1050</v>
      </c>
      <c r="B17" s="2" t="s">
        <v>23</v>
      </c>
      <c r="C17" s="3" t="s">
        <v>35</v>
      </c>
      <c r="D17" s="18" t="str">
        <f t="shared" si="0"/>
        <v>mar</v>
      </c>
      <c r="E17" s="5">
        <v>45745</v>
      </c>
      <c r="F17" s="6">
        <v>45757</v>
      </c>
      <c r="G17" s="7">
        <v>4</v>
      </c>
      <c r="H17" s="7">
        <v>460</v>
      </c>
      <c r="I17" s="7"/>
      <c r="J17" s="8">
        <v>7045.18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6214.240882424242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2754.2032323232324</v>
      </c>
      <c r="M17" s="8">
        <f t="shared" si="1"/>
        <v>16013.624114747474</v>
      </c>
      <c r="N17" s="9">
        <f t="shared" si="2"/>
        <v>34.812226336407555</v>
      </c>
      <c r="O17" s="10">
        <v>376</v>
      </c>
      <c r="P17" s="3">
        <v>60</v>
      </c>
      <c r="Q17" s="3"/>
      <c r="R17" s="3">
        <v>40</v>
      </c>
      <c r="S17" s="8">
        <f t="shared" si="3"/>
        <v>16570.619736129996</v>
      </c>
      <c r="T17" s="28">
        <f t="shared" si="4"/>
        <v>-16</v>
      </c>
      <c r="U17" s="3">
        <v>0</v>
      </c>
      <c r="V17" s="8">
        <f t="shared" si="5"/>
        <v>-556.99562138252088</v>
      </c>
      <c r="W17" s="8"/>
      <c r="X17" s="11">
        <f t="shared" si="6"/>
        <v>0</v>
      </c>
    </row>
    <row r="18" spans="1:24" ht="15.5" x14ac:dyDescent="0.35">
      <c r="A18" s="1">
        <v>1051</v>
      </c>
      <c r="B18" s="2" t="s">
        <v>23</v>
      </c>
      <c r="C18" s="3" t="s">
        <v>94</v>
      </c>
      <c r="D18" s="18" t="str">
        <f t="shared" si="0"/>
        <v>abr</v>
      </c>
      <c r="E18" s="5">
        <v>45748</v>
      </c>
      <c r="F18" s="6">
        <v>45761</v>
      </c>
      <c r="G18" s="7">
        <v>3</v>
      </c>
      <c r="H18" s="7">
        <v>360</v>
      </c>
      <c r="I18" s="7"/>
      <c r="J18" s="8">
        <v>6548.22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5141.6089822134381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1564.0740209790208</v>
      </c>
      <c r="M18" s="8">
        <f t="shared" si="1"/>
        <v>13253.903003192459</v>
      </c>
      <c r="N18" s="9">
        <f t="shared" si="2"/>
        <v>36.816397231090164</v>
      </c>
      <c r="O18" s="10">
        <v>240</v>
      </c>
      <c r="P18" s="3">
        <v>120</v>
      </c>
      <c r="Q18" s="3"/>
      <c r="R18" s="3"/>
      <c r="S18" s="8">
        <f t="shared" si="3"/>
        <v>13253.903003192459</v>
      </c>
      <c r="T18" s="7">
        <f t="shared" si="4"/>
        <v>0</v>
      </c>
      <c r="U18" s="3">
        <v>0</v>
      </c>
      <c r="V18" s="8">
        <f t="shared" si="5"/>
        <v>0</v>
      </c>
      <c r="W18" s="8"/>
      <c r="X18" s="11">
        <f t="shared" si="6"/>
        <v>0</v>
      </c>
    </row>
    <row r="19" spans="1:24" ht="15.5" x14ac:dyDescent="0.35">
      <c r="A19" s="1">
        <v>1052</v>
      </c>
      <c r="B19" s="2" t="s">
        <v>23</v>
      </c>
      <c r="C19" s="3" t="s">
        <v>36</v>
      </c>
      <c r="D19" s="18" t="str">
        <f t="shared" si="0"/>
        <v>abr</v>
      </c>
      <c r="E19" s="5">
        <v>45750</v>
      </c>
      <c r="F19" s="6">
        <v>45764</v>
      </c>
      <c r="G19" s="7">
        <v>8</v>
      </c>
      <c r="H19" s="7">
        <v>890</v>
      </c>
      <c r="I19" s="7"/>
      <c r="J19" s="8">
        <v>16843.689999999999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13710.957285902503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4170.8640559440555</v>
      </c>
      <c r="M19" s="8">
        <f t="shared" si="1"/>
        <v>34725.511341846555</v>
      </c>
      <c r="N19" s="9">
        <f t="shared" si="2"/>
        <v>39.017428473984893</v>
      </c>
      <c r="O19" s="10">
        <v>240</v>
      </c>
      <c r="P19" s="3">
        <v>60</v>
      </c>
      <c r="Q19" s="3"/>
      <c r="R19" s="3"/>
      <c r="S19" s="8">
        <f t="shared" si="3"/>
        <v>11705.228542195468</v>
      </c>
      <c r="T19" s="7">
        <f t="shared" si="4"/>
        <v>590</v>
      </c>
      <c r="U19" s="3">
        <v>590</v>
      </c>
      <c r="V19" s="8">
        <f t="shared" si="5"/>
        <v>0</v>
      </c>
      <c r="W19" s="8"/>
      <c r="X19" s="11">
        <f t="shared" si="6"/>
        <v>23020.282799651086</v>
      </c>
    </row>
    <row r="20" spans="1:24" ht="15.5" x14ac:dyDescent="0.35">
      <c r="A20" s="1" t="s">
        <v>95</v>
      </c>
      <c r="B20" s="2" t="s">
        <v>29</v>
      </c>
      <c r="C20" s="3" t="s">
        <v>39</v>
      </c>
      <c r="D20" s="18" t="str">
        <f t="shared" si="0"/>
        <v>abr</v>
      </c>
      <c r="E20" s="5">
        <v>45751</v>
      </c>
      <c r="F20" s="6">
        <v>45764</v>
      </c>
      <c r="G20" s="7">
        <v>20</v>
      </c>
      <c r="H20" s="7">
        <v>2530</v>
      </c>
      <c r="I20" s="7"/>
      <c r="J20" s="8">
        <v>23874.52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20316.046910408433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15889.935909090909</v>
      </c>
      <c r="M20" s="8">
        <f t="shared" si="1"/>
        <v>60080.50281949935</v>
      </c>
      <c r="N20" s="9">
        <f t="shared" si="2"/>
        <v>23.747234316007649</v>
      </c>
      <c r="O20" s="10">
        <v>1136</v>
      </c>
      <c r="P20" s="3">
        <v>180</v>
      </c>
      <c r="Q20" s="3"/>
      <c r="R20" s="3">
        <v>210</v>
      </c>
      <c r="S20" s="8">
        <f t="shared" si="3"/>
        <v>36238.279566227669</v>
      </c>
      <c r="T20" s="7">
        <f t="shared" si="4"/>
        <v>1004</v>
      </c>
      <c r="U20" s="3">
        <v>1004</v>
      </c>
      <c r="V20" s="8">
        <f t="shared" si="5"/>
        <v>0</v>
      </c>
      <c r="W20" s="8"/>
      <c r="X20" s="11">
        <f t="shared" si="6"/>
        <v>23842.223253271681</v>
      </c>
    </row>
    <row r="21" spans="1:24" ht="15.5" x14ac:dyDescent="0.35">
      <c r="A21" s="1">
        <v>1053</v>
      </c>
      <c r="B21" s="2" t="s">
        <v>23</v>
      </c>
      <c r="C21" s="3" t="s">
        <v>77</v>
      </c>
      <c r="D21" s="18" t="str">
        <f t="shared" si="0"/>
        <v>abr</v>
      </c>
      <c r="E21" s="5">
        <v>45754</v>
      </c>
      <c r="F21" s="6">
        <v>45769</v>
      </c>
      <c r="G21" s="7">
        <v>3</v>
      </c>
      <c r="H21" s="7">
        <v>334</v>
      </c>
      <c r="I21" s="7"/>
      <c r="J21" s="17">
        <v>14682.42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5141.6089822134381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1564.0740209790208</v>
      </c>
      <c r="M21" s="8">
        <f t="shared" si="1"/>
        <v>21388.103003192457</v>
      </c>
      <c r="N21" s="9">
        <f t="shared" si="2"/>
        <v>64.036236536504362</v>
      </c>
      <c r="O21" s="10">
        <v>120</v>
      </c>
      <c r="P21" s="3">
        <v>94</v>
      </c>
      <c r="Q21" s="3"/>
      <c r="R21" s="3"/>
      <c r="S21" s="8">
        <f t="shared" si="3"/>
        <v>13703.754618811934</v>
      </c>
      <c r="T21" s="7">
        <f t="shared" si="4"/>
        <v>120</v>
      </c>
      <c r="U21" s="3">
        <v>120</v>
      </c>
      <c r="V21" s="8">
        <f t="shared" si="5"/>
        <v>0</v>
      </c>
      <c r="W21" s="8"/>
      <c r="X21" s="11">
        <f t="shared" si="6"/>
        <v>7684.3483843805234</v>
      </c>
    </row>
    <row r="22" spans="1:24" ht="15.5" x14ac:dyDescent="0.35">
      <c r="A22" s="1">
        <v>1054</v>
      </c>
      <c r="B22" s="2" t="s">
        <v>23</v>
      </c>
      <c r="C22" s="3" t="s">
        <v>83</v>
      </c>
      <c r="D22" s="18" t="str">
        <f t="shared" si="0"/>
        <v>abr</v>
      </c>
      <c r="E22" s="5">
        <v>45755</v>
      </c>
      <c r="F22" s="6">
        <v>45783</v>
      </c>
      <c r="G22" s="7">
        <v>3</v>
      </c>
      <c r="H22" s="7">
        <v>396</v>
      </c>
      <c r="I22" s="7"/>
      <c r="J22" s="8">
        <v>7221.33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5141.6089822134381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1564.0740209790208</v>
      </c>
      <c r="M22" s="8">
        <f t="shared" si="1"/>
        <v>13927.013003192458</v>
      </c>
      <c r="N22" s="9">
        <f t="shared" si="2"/>
        <v>35.169224755536511</v>
      </c>
      <c r="O22" s="10"/>
      <c r="P22" s="3"/>
      <c r="Q22" s="3"/>
      <c r="R22" s="3"/>
      <c r="S22" s="8">
        <f t="shared" si="3"/>
        <v>0</v>
      </c>
      <c r="T22" s="7">
        <f t="shared" si="4"/>
        <v>396</v>
      </c>
      <c r="U22" s="3">
        <v>396</v>
      </c>
      <c r="V22" s="8">
        <f t="shared" si="5"/>
        <v>0</v>
      </c>
      <c r="W22" s="8"/>
      <c r="X22" s="11">
        <f t="shared" si="6"/>
        <v>13927.013003192458</v>
      </c>
    </row>
    <row r="23" spans="1:24" ht="15.5" x14ac:dyDescent="0.35">
      <c r="A23" s="1">
        <v>1055</v>
      </c>
      <c r="B23" s="2" t="s">
        <v>23</v>
      </c>
      <c r="C23" s="3" t="s">
        <v>56</v>
      </c>
      <c r="D23" s="18" t="str">
        <f t="shared" si="0"/>
        <v>abr</v>
      </c>
      <c r="E23" s="5">
        <v>45757</v>
      </c>
      <c r="F23" s="6">
        <v>45775</v>
      </c>
      <c r="G23" s="7">
        <v>6</v>
      </c>
      <c r="H23" s="7">
        <v>716</v>
      </c>
      <c r="I23" s="7"/>
      <c r="J23" s="17">
        <v>20223.36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10283.217964426876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3128.1480419580416</v>
      </c>
      <c r="M23" s="8">
        <f t="shared" si="1"/>
        <v>33634.726006384917</v>
      </c>
      <c r="N23" s="9">
        <f t="shared" si="2"/>
        <v>46.975874310593461</v>
      </c>
      <c r="O23" s="10">
        <v>60</v>
      </c>
      <c r="P23" s="3">
        <v>60</v>
      </c>
      <c r="Q23" s="3"/>
      <c r="R23" s="3"/>
      <c r="S23" s="8">
        <f t="shared" si="3"/>
        <v>5637.1049172712155</v>
      </c>
      <c r="T23" s="7">
        <f t="shared" si="4"/>
        <v>596</v>
      </c>
      <c r="U23" s="3">
        <v>596</v>
      </c>
      <c r="V23" s="8">
        <f t="shared" si="5"/>
        <v>0</v>
      </c>
      <c r="W23" s="8"/>
      <c r="X23" s="11">
        <f t="shared" si="6"/>
        <v>27997.621089113702</v>
      </c>
    </row>
    <row r="24" spans="1:24" ht="15.5" x14ac:dyDescent="0.35">
      <c r="A24" s="1">
        <v>1056</v>
      </c>
      <c r="B24" s="2" t="s">
        <v>23</v>
      </c>
      <c r="C24" s="3" t="s">
        <v>52</v>
      </c>
      <c r="D24" s="18" t="str">
        <f t="shared" si="0"/>
        <v>abr</v>
      </c>
      <c r="E24" s="5">
        <v>45758</v>
      </c>
      <c r="F24" s="6">
        <v>45789</v>
      </c>
      <c r="G24" s="7">
        <v>4</v>
      </c>
      <c r="H24" s="7">
        <v>410</v>
      </c>
      <c r="I24" s="7"/>
      <c r="J24" s="8">
        <v>6993.82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6855.4786429512515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2085.4320279720278</v>
      </c>
      <c r="M24" s="8">
        <f t="shared" si="1"/>
        <v>15934.73067092328</v>
      </c>
      <c r="N24" s="9">
        <f t="shared" si="2"/>
        <v>38.865196758349462</v>
      </c>
      <c r="O24" s="10"/>
      <c r="P24" s="3"/>
      <c r="Q24" s="3"/>
      <c r="R24" s="3"/>
      <c r="S24" s="8">
        <f t="shared" si="3"/>
        <v>0</v>
      </c>
      <c r="T24" s="7">
        <f t="shared" si="4"/>
        <v>410</v>
      </c>
      <c r="U24" s="3">
        <v>410</v>
      </c>
      <c r="V24" s="8">
        <f t="shared" si="5"/>
        <v>0</v>
      </c>
      <c r="W24" s="8"/>
      <c r="X24" s="11">
        <f t="shared" si="6"/>
        <v>15934.73067092328</v>
      </c>
    </row>
    <row r="25" spans="1:24" ht="15.5" x14ac:dyDescent="0.35">
      <c r="A25" s="1">
        <v>1057</v>
      </c>
      <c r="B25" s="2" t="s">
        <v>23</v>
      </c>
      <c r="C25" s="3" t="s">
        <v>35</v>
      </c>
      <c r="D25" s="18" t="str">
        <f t="shared" si="0"/>
        <v>abr</v>
      </c>
      <c r="E25" s="5">
        <v>45762</v>
      </c>
      <c r="F25" s="6">
        <v>45777</v>
      </c>
      <c r="G25" s="7">
        <v>3</v>
      </c>
      <c r="H25" s="7">
        <v>379</v>
      </c>
      <c r="I25" s="7"/>
      <c r="J25" s="8">
        <v>5940.7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5141.6089822134381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1564.0740209790208</v>
      </c>
      <c r="M25" s="8">
        <f t="shared" si="1"/>
        <v>12646.383003192459</v>
      </c>
      <c r="N25" s="9">
        <f t="shared" si="2"/>
        <v>33.367765179927332</v>
      </c>
      <c r="O25" s="10"/>
      <c r="P25" s="3">
        <v>19</v>
      </c>
      <c r="Q25" s="3"/>
      <c r="R25" s="3"/>
      <c r="S25" s="8">
        <f t="shared" si="3"/>
        <v>633.98753841861935</v>
      </c>
      <c r="T25" s="7">
        <f t="shared" si="4"/>
        <v>360</v>
      </c>
      <c r="U25" s="3">
        <v>360</v>
      </c>
      <c r="V25" s="8">
        <f t="shared" si="5"/>
        <v>0</v>
      </c>
      <c r="W25" s="8"/>
      <c r="X25" s="11">
        <f t="shared" si="6"/>
        <v>12012.395464773839</v>
      </c>
    </row>
    <row r="26" spans="1:24" ht="15.5" x14ac:dyDescent="0.35">
      <c r="A26" s="1" t="s">
        <v>96</v>
      </c>
      <c r="B26" s="2" t="s">
        <v>29</v>
      </c>
      <c r="C26" s="3" t="s">
        <v>47</v>
      </c>
      <c r="D26" s="18" t="str">
        <f t="shared" si="0"/>
        <v>abr</v>
      </c>
      <c r="E26" s="5">
        <v>45764</v>
      </c>
      <c r="F26" s="6">
        <v>45780</v>
      </c>
      <c r="G26" s="7">
        <v>20</v>
      </c>
      <c r="H26" s="7">
        <v>2394</v>
      </c>
      <c r="I26" s="7"/>
      <c r="J26" s="8">
        <v>30918.53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20316.046910408433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15889.935909090909</v>
      </c>
      <c r="M26" s="8">
        <f t="shared" si="1"/>
        <v>67124.512819499345</v>
      </c>
      <c r="N26" s="9">
        <f t="shared" si="2"/>
        <v>28.038643617167647</v>
      </c>
      <c r="O26" s="10"/>
      <c r="P26" s="3"/>
      <c r="Q26" s="3"/>
      <c r="R26" s="3"/>
      <c r="S26" s="8">
        <f t="shared" si="3"/>
        <v>0</v>
      </c>
      <c r="T26" s="7">
        <f t="shared" si="4"/>
        <v>2394</v>
      </c>
      <c r="U26" s="3">
        <v>2394</v>
      </c>
      <c r="V26" s="8">
        <f t="shared" si="5"/>
        <v>0</v>
      </c>
      <c r="W26" s="8"/>
      <c r="X26" s="11">
        <f t="shared" si="6"/>
        <v>67124.512819499345</v>
      </c>
    </row>
    <row r="27" spans="1:24" ht="15.5" x14ac:dyDescent="0.35">
      <c r="A27" s="1">
        <v>1058</v>
      </c>
      <c r="B27" s="2" t="s">
        <v>23</v>
      </c>
      <c r="C27" s="3" t="s">
        <v>97</v>
      </c>
      <c r="D27" s="18" t="str">
        <f t="shared" si="0"/>
        <v>abr</v>
      </c>
      <c r="E27" s="5">
        <v>45765</v>
      </c>
      <c r="F27" s="6">
        <v>45782</v>
      </c>
      <c r="G27" s="7">
        <v>3</v>
      </c>
      <c r="H27" s="7">
        <v>390</v>
      </c>
      <c r="I27" s="7"/>
      <c r="J27" s="17">
        <v>19497.36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5141.6089822134381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1564.0740209790208</v>
      </c>
      <c r="M27" s="8">
        <f t="shared" si="1"/>
        <v>26203.043003192459</v>
      </c>
      <c r="N27" s="9">
        <f t="shared" si="2"/>
        <v>67.187289751775538</v>
      </c>
      <c r="O27" s="10"/>
      <c r="P27" s="3"/>
      <c r="Q27" s="3"/>
      <c r="R27" s="3"/>
      <c r="S27" s="8">
        <f t="shared" si="3"/>
        <v>0</v>
      </c>
      <c r="T27" s="7">
        <f t="shared" si="4"/>
        <v>390</v>
      </c>
      <c r="U27" s="3">
        <v>390</v>
      </c>
      <c r="V27" s="8">
        <f t="shared" si="5"/>
        <v>0</v>
      </c>
      <c r="W27" s="8"/>
      <c r="X27" s="11">
        <f t="shared" si="6"/>
        <v>26203.043003192459</v>
      </c>
    </row>
    <row r="28" spans="1:24" ht="15.5" x14ac:dyDescent="0.35">
      <c r="A28" s="1">
        <v>1059</v>
      </c>
      <c r="B28" s="2" t="s">
        <v>23</v>
      </c>
      <c r="C28" s="3" t="s">
        <v>31</v>
      </c>
      <c r="D28" s="18" t="str">
        <f t="shared" si="0"/>
        <v>abr</v>
      </c>
      <c r="E28" s="5">
        <v>45770</v>
      </c>
      <c r="F28" s="6">
        <v>45789</v>
      </c>
      <c r="G28" s="7">
        <v>3</v>
      </c>
      <c r="H28" s="7">
        <v>360</v>
      </c>
      <c r="I28" s="7"/>
      <c r="J28" s="17">
        <v>7661.63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5141.6089822134381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1564.0740209790208</v>
      </c>
      <c r="M28" s="8">
        <f t="shared" si="1"/>
        <v>14367.313003192459</v>
      </c>
      <c r="N28" s="9">
        <f t="shared" si="2"/>
        <v>39.909202786645722</v>
      </c>
      <c r="O28" s="10"/>
      <c r="P28" s="3"/>
      <c r="Q28" s="3"/>
      <c r="R28" s="3"/>
      <c r="S28" s="8">
        <f t="shared" si="3"/>
        <v>0</v>
      </c>
      <c r="T28" s="7">
        <f t="shared" si="4"/>
        <v>360</v>
      </c>
      <c r="U28" s="3">
        <v>360</v>
      </c>
      <c r="V28" s="8">
        <f t="shared" si="5"/>
        <v>0</v>
      </c>
      <c r="W28" s="8"/>
      <c r="X28" s="11">
        <f t="shared" si="6"/>
        <v>14367.313003192459</v>
      </c>
    </row>
    <row r="29" spans="1:24" ht="15.5" x14ac:dyDescent="0.35">
      <c r="A29" s="1">
        <v>1060</v>
      </c>
      <c r="B29" s="2" t="s">
        <v>23</v>
      </c>
      <c r="C29" s="3" t="s">
        <v>24</v>
      </c>
      <c r="D29" s="18" t="str">
        <f t="shared" si="0"/>
        <v>abr</v>
      </c>
      <c r="E29" s="5">
        <v>45773</v>
      </c>
      <c r="F29" s="6">
        <v>45784</v>
      </c>
      <c r="G29" s="7">
        <v>8</v>
      </c>
      <c r="H29" s="7">
        <v>890</v>
      </c>
      <c r="I29" s="7"/>
      <c r="J29" s="17">
        <v>17391.64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13710.957285902503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4170.8640559440555</v>
      </c>
      <c r="M29" s="8">
        <f t="shared" si="1"/>
        <v>35273.46134184656</v>
      </c>
      <c r="N29" s="9">
        <f t="shared" si="2"/>
        <v>39.633102631288267</v>
      </c>
      <c r="O29" s="10"/>
      <c r="P29" s="3"/>
      <c r="Q29" s="3"/>
      <c r="R29" s="3"/>
      <c r="S29" s="8">
        <f t="shared" si="3"/>
        <v>0</v>
      </c>
      <c r="T29" s="7">
        <f t="shared" si="4"/>
        <v>890</v>
      </c>
      <c r="U29" s="3">
        <v>890</v>
      </c>
      <c r="V29" s="8">
        <f t="shared" si="5"/>
        <v>0</v>
      </c>
      <c r="W29" s="8"/>
      <c r="X29" s="11">
        <f t="shared" si="6"/>
        <v>35273.46134184656</v>
      </c>
    </row>
    <row r="30" spans="1:24" ht="15.5" x14ac:dyDescent="0.35">
      <c r="A30" s="1" t="s">
        <v>98</v>
      </c>
      <c r="B30" s="2" t="s">
        <v>29</v>
      </c>
      <c r="C30" s="3" t="s">
        <v>34</v>
      </c>
      <c r="D30" s="18" t="str">
        <f t="shared" si="0"/>
        <v>abr</v>
      </c>
      <c r="E30" s="5">
        <v>45776</v>
      </c>
      <c r="F30" s="6">
        <v>45787</v>
      </c>
      <c r="G30" s="7">
        <v>40</v>
      </c>
      <c r="H30" s="7">
        <v>4646</v>
      </c>
      <c r="I30" s="7"/>
      <c r="J30" s="8">
        <v>92650.95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40632.093820816866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31779.871818181819</v>
      </c>
      <c r="M30" s="8">
        <f t="shared" si="1"/>
        <v>165062.91563899867</v>
      </c>
      <c r="N30" s="9">
        <f t="shared" si="2"/>
        <v>35.527962901205051</v>
      </c>
      <c r="O30" s="10"/>
      <c r="P30" s="3"/>
      <c r="Q30" s="3"/>
      <c r="R30" s="3"/>
      <c r="S30" s="8">
        <f t="shared" si="3"/>
        <v>0</v>
      </c>
      <c r="T30" s="7">
        <f t="shared" si="4"/>
        <v>4646</v>
      </c>
      <c r="U30" s="3">
        <v>4646</v>
      </c>
      <c r="V30" s="8">
        <f t="shared" si="5"/>
        <v>0</v>
      </c>
      <c r="W30" s="8"/>
      <c r="X30" s="11">
        <f t="shared" si="6"/>
        <v>165062.91563899867</v>
      </c>
    </row>
    <row r="31" spans="1:24" ht="15.5" x14ac:dyDescent="0.35">
      <c r="A31" s="1">
        <v>1061</v>
      </c>
      <c r="B31" s="2" t="s">
        <v>23</v>
      </c>
      <c r="C31" s="3" t="s">
        <v>59</v>
      </c>
      <c r="D31" s="18" t="str">
        <f t="shared" si="0"/>
        <v>abr</v>
      </c>
      <c r="E31" s="5">
        <v>45777</v>
      </c>
      <c r="F31" s="6">
        <v>45810</v>
      </c>
      <c r="G31" s="7">
        <v>8</v>
      </c>
      <c r="H31" s="7">
        <v>900</v>
      </c>
      <c r="I31" s="7"/>
      <c r="J31" s="8">
        <v>13422.15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13710.957285902503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4170.8640559440555</v>
      </c>
      <c r="M31" s="8">
        <f t="shared" si="1"/>
        <v>31303.971341846554</v>
      </c>
      <c r="N31" s="9">
        <f t="shared" si="2"/>
        <v>34.782190379829508</v>
      </c>
      <c r="O31" s="10"/>
      <c r="P31" s="3"/>
      <c r="Q31" s="3"/>
      <c r="R31" s="3"/>
      <c r="S31" s="8">
        <f t="shared" si="3"/>
        <v>0</v>
      </c>
      <c r="T31" s="7">
        <f t="shared" si="4"/>
        <v>900</v>
      </c>
      <c r="U31" s="3">
        <v>900</v>
      </c>
      <c r="V31" s="8">
        <f t="shared" si="5"/>
        <v>0</v>
      </c>
      <c r="W31" s="8"/>
      <c r="X31" s="11">
        <f t="shared" si="6"/>
        <v>31303.971341846558</v>
      </c>
    </row>
    <row r="32" spans="1:24" ht="15.5" x14ac:dyDescent="0.35">
      <c r="A32" s="1"/>
      <c r="B32" s="2"/>
      <c r="C32" s="3"/>
      <c r="D32" s="18" t="str">
        <f t="shared" si="0"/>
        <v>-</v>
      </c>
      <c r="E32" s="20"/>
      <c r="F32" s="7"/>
      <c r="G32" s="7"/>
      <c r="H32" s="7"/>
      <c r="I32" s="7"/>
      <c r="J32" s="8"/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0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0</v>
      </c>
      <c r="M32" s="8">
        <f t="shared" si="1"/>
        <v>0</v>
      </c>
      <c r="N32" s="9" t="str">
        <f t="shared" si="2"/>
        <v>N/A</v>
      </c>
      <c r="O32" s="10"/>
      <c r="P32" s="3"/>
      <c r="Q32" s="3"/>
      <c r="R32" s="3"/>
      <c r="S32" s="8">
        <f t="shared" si="3"/>
        <v>0</v>
      </c>
      <c r="T32" s="7">
        <f t="shared" si="4"/>
        <v>0</v>
      </c>
      <c r="U32" s="3"/>
      <c r="V32" s="8">
        <f t="shared" si="5"/>
        <v>0</v>
      </c>
      <c r="W32" s="8"/>
      <c r="X32" s="11">
        <f t="shared" si="6"/>
        <v>0</v>
      </c>
    </row>
    <row r="33" spans="1:24" ht="15.5" x14ac:dyDescent="0.35">
      <c r="A33" s="1"/>
      <c r="B33" s="2"/>
      <c r="C33" s="3"/>
      <c r="D33" s="18" t="str">
        <f t="shared" si="0"/>
        <v>-</v>
      </c>
      <c r="E33" s="20"/>
      <c r="F33" s="7"/>
      <c r="G33" s="7"/>
      <c r="H33" s="7"/>
      <c r="I33" s="7"/>
      <c r="J33" s="8"/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0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0</v>
      </c>
      <c r="M33" s="8">
        <f t="shared" si="1"/>
        <v>0</v>
      </c>
      <c r="N33" s="9" t="str">
        <f t="shared" si="2"/>
        <v>N/A</v>
      </c>
      <c r="O33" s="10"/>
      <c r="P33" s="3"/>
      <c r="Q33" s="3"/>
      <c r="R33" s="3"/>
      <c r="S33" s="8">
        <f t="shared" si="3"/>
        <v>0</v>
      </c>
      <c r="T33" s="7">
        <f t="shared" si="4"/>
        <v>0</v>
      </c>
      <c r="U33" s="3"/>
      <c r="V33" s="8">
        <f t="shared" si="5"/>
        <v>0</v>
      </c>
      <c r="W33" s="8"/>
      <c r="X33" s="11">
        <f t="shared" si="6"/>
        <v>0</v>
      </c>
    </row>
    <row r="34" spans="1:24" ht="15.5" x14ac:dyDescent="0.35">
      <c r="A34" s="1"/>
      <c r="B34" s="2"/>
      <c r="C34" s="3"/>
      <c r="D34" s="18" t="str">
        <f t="shared" si="0"/>
        <v>-</v>
      </c>
      <c r="E34" s="20"/>
      <c r="F34" s="7"/>
      <c r="G34" s="7"/>
      <c r="H34" s="7"/>
      <c r="I34" s="7"/>
      <c r="J34" s="8"/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0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0</v>
      </c>
      <c r="M34" s="8">
        <f t="shared" si="1"/>
        <v>0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6"/>
        <v>0</v>
      </c>
    </row>
    <row r="35" spans="1:24" ht="15.5" x14ac:dyDescent="0.35">
      <c r="A35" s="1"/>
      <c r="B35" s="2"/>
      <c r="C35" s="3"/>
      <c r="D35" s="18" t="str">
        <f t="shared" si="0"/>
        <v>-</v>
      </c>
      <c r="E35" s="20"/>
      <c r="F35" s="7"/>
      <c r="G35" s="7"/>
      <c r="H35" s="7"/>
      <c r="I35" s="7"/>
      <c r="J35" s="8"/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0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0</v>
      </c>
      <c r="M35" s="8">
        <f t="shared" si="1"/>
        <v>0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6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40" spans="1:24" ht="15.75" customHeight="1" x14ac:dyDescent="0.25">
      <c r="F40" s="22"/>
      <c r="H40" s="21" t="s">
        <v>31</v>
      </c>
      <c r="I40" s="22" t="s">
        <v>99</v>
      </c>
      <c r="J40" s="22">
        <f>SUMIF(D2:D38,I40,J2:J38)</f>
        <v>283870.32</v>
      </c>
      <c r="K40" s="22"/>
      <c r="M40" s="22">
        <f>SUMIF(D2:D38,I40,M2:M38)</f>
        <v>544926.09</v>
      </c>
      <c r="N40" s="22">
        <f>IFERROR(AVERAGEIFS(N2:N31,D2:D31,I40,C2:C31,H40),"")</f>
        <v>39.909202786645722</v>
      </c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>W42*300</f>
        <v>2824.8</v>
      </c>
      <c r="T42" s="21" t="s">
        <v>63</v>
      </c>
      <c r="U42" s="21">
        <v>500</v>
      </c>
      <c r="V42" s="21">
        <f>9416/2</f>
        <v>4708</v>
      </c>
      <c r="W42" s="21">
        <f t="shared" ref="W42:W43" si="7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100</v>
      </c>
      <c r="M43" s="21" t="s">
        <v>101</v>
      </c>
      <c r="N43" s="21" t="s">
        <v>102</v>
      </c>
      <c r="O43" s="21" t="s">
        <v>70</v>
      </c>
      <c r="P43" s="21"/>
      <c r="Q43" s="21"/>
      <c r="R43" s="21" t="s">
        <v>71</v>
      </c>
      <c r="S43" s="21">
        <f>W43*100</f>
        <v>1886.2434782608696</v>
      </c>
      <c r="T43" s="21" t="s">
        <v>72</v>
      </c>
      <c r="U43" s="21">
        <v>460</v>
      </c>
      <c r="V43" s="21">
        <v>8676.7199999999993</v>
      </c>
      <c r="W43" s="21">
        <f t="shared" si="7"/>
        <v>18.862434782608695</v>
      </c>
      <c r="X43" s="21">
        <f>ROUND(W43*150,2)</f>
        <v>2829.37</v>
      </c>
    </row>
    <row r="44" spans="1:24" ht="15.75" customHeight="1" x14ac:dyDescent="0.25">
      <c r="D44" s="22"/>
      <c r="E44" s="22">
        <v>14682.42</v>
      </c>
      <c r="F44" s="21" t="s">
        <v>77</v>
      </c>
      <c r="G44" s="21">
        <f t="shared" ref="G44:G48" si="8">SUM(I44:R44)</f>
        <v>432</v>
      </c>
      <c r="I44" s="24">
        <f>24*18</f>
        <v>432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ROUND(S43+S42,2)</f>
        <v>4711.04</v>
      </c>
    </row>
    <row r="45" spans="1:24" ht="15.75" customHeight="1" x14ac:dyDescent="0.25">
      <c r="D45" s="22"/>
      <c r="E45" s="22">
        <v>20223.36</v>
      </c>
      <c r="F45" s="21" t="s">
        <v>103</v>
      </c>
      <c r="G45" s="21">
        <f t="shared" si="8"/>
        <v>720</v>
      </c>
      <c r="I45" s="24">
        <f>40*18</f>
        <v>720</v>
      </c>
      <c r="J45" s="24"/>
      <c r="K45" s="24"/>
      <c r="L45" s="24"/>
      <c r="M45" s="24"/>
      <c r="N45" s="24"/>
      <c r="O45" s="24"/>
      <c r="P45" s="24"/>
      <c r="Q45" s="24"/>
      <c r="R45" s="24"/>
      <c r="S45" s="21">
        <f>S44/2</f>
        <v>2355.52</v>
      </c>
    </row>
    <row r="46" spans="1:24" ht="15.75" customHeight="1" x14ac:dyDescent="0.25">
      <c r="D46" s="22"/>
      <c r="E46" s="22">
        <v>19497.36</v>
      </c>
      <c r="F46" s="21" t="s">
        <v>97</v>
      </c>
      <c r="G46" s="21">
        <f t="shared" si="8"/>
        <v>13533.97</v>
      </c>
      <c r="H46" s="22"/>
      <c r="I46" s="24"/>
      <c r="J46" s="24">
        <v>2829.37</v>
      </c>
      <c r="K46" s="24"/>
      <c r="L46" s="24">
        <f>488/5</f>
        <v>97.6</v>
      </c>
      <c r="M46" s="24">
        <v>10000</v>
      </c>
      <c r="N46" s="24">
        <v>337</v>
      </c>
      <c r="O46" s="24"/>
      <c r="P46" s="24"/>
      <c r="Q46" s="24"/>
      <c r="R46" s="24">
        <f>135*2</f>
        <v>270</v>
      </c>
    </row>
    <row r="47" spans="1:24" ht="15.75" customHeight="1" x14ac:dyDescent="0.25">
      <c r="D47" s="22"/>
      <c r="E47" s="22">
        <v>7661.63</v>
      </c>
      <c r="F47" s="21" t="s">
        <v>104</v>
      </c>
      <c r="G47" s="21">
        <f t="shared" si="8"/>
        <v>1867.5</v>
      </c>
      <c r="I47" s="24"/>
      <c r="J47" s="24"/>
      <c r="K47" s="24"/>
      <c r="L47" s="24"/>
      <c r="M47" s="24"/>
      <c r="N47" s="24"/>
      <c r="O47" s="24">
        <v>1800</v>
      </c>
      <c r="P47" s="24"/>
      <c r="Q47" s="24"/>
      <c r="R47" s="24">
        <f t="shared" ref="R47:R48" si="9">135/2</f>
        <v>67.5</v>
      </c>
    </row>
    <row r="48" spans="1:24" ht="15.75" customHeight="1" x14ac:dyDescent="0.25">
      <c r="D48" s="22"/>
      <c r="E48" s="22">
        <v>17391.64</v>
      </c>
      <c r="F48" s="21" t="s">
        <v>24</v>
      </c>
      <c r="G48" s="21">
        <f t="shared" si="8"/>
        <v>7798.54</v>
      </c>
      <c r="I48" s="24">
        <f>15*18</f>
        <v>270</v>
      </c>
      <c r="J48" s="24">
        <v>4711.04</v>
      </c>
      <c r="K48" s="24">
        <v>2750</v>
      </c>
      <c r="L48" s="24"/>
      <c r="M48" s="24"/>
      <c r="N48" s="24"/>
      <c r="O48" s="24"/>
      <c r="P48" s="24"/>
      <c r="Q48" s="24"/>
      <c r="R48" s="24">
        <f t="shared" si="9"/>
        <v>67.5</v>
      </c>
    </row>
    <row r="51" spans="3:10" ht="15.75" customHeight="1" x14ac:dyDescent="0.25">
      <c r="J51" s="22"/>
    </row>
    <row r="55" spans="3:10" ht="15.75" customHeight="1" x14ac:dyDescent="0.25">
      <c r="C55" s="26"/>
    </row>
  </sheetData>
  <conditionalFormatting sqref="N2:N38">
    <cfRule type="cellIs" dxfId="15" priority="1" operator="greaterThan">
      <formula>60</formula>
    </cfRule>
    <cfRule type="cellIs" dxfId="14" priority="2" operator="greaterThan">
      <formula>45</formula>
    </cfRule>
  </conditionalFormatting>
  <dataValidations count="1">
    <dataValidation type="list" allowBlank="1" showErrorMessage="1" sqref="B2:B38" xr:uid="{00000000-0002-0000-03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54"/>
  <sheetViews>
    <sheetView workbookViewId="0">
      <pane xSplit="3" topLeftCell="D1" activePane="topRight" state="frozen"/>
      <selection pane="topRight" activeCell="X1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  <col min="24" max="24" width="20.54296875" bestFit="1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 t="s">
        <v>89</v>
      </c>
      <c r="B2" s="2" t="s">
        <v>29</v>
      </c>
      <c r="C2" s="3" t="s">
        <v>47</v>
      </c>
      <c r="D2" s="18" t="str">
        <f t="shared" ref="D2:D37" si="0">IF(E2="","-",(TEXT(E2,"MMM")))</f>
        <v>mar</v>
      </c>
      <c r="E2" s="5">
        <v>45729</v>
      </c>
      <c r="F2" s="6">
        <v>45747</v>
      </c>
      <c r="G2" s="7">
        <v>20</v>
      </c>
      <c r="H2" s="7">
        <v>2425</v>
      </c>
      <c r="I2" s="7">
        <v>687</v>
      </c>
      <c r="J2" s="8">
        <v>28497.1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17744.793345454542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12028.817272727274</v>
      </c>
      <c r="M2" s="8">
        <f t="shared" ref="M2:M37" si="1">J2+K2+L2</f>
        <v>58270.710618181816</v>
      </c>
      <c r="N2" s="9">
        <f t="shared" ref="N2:N37" si="2">IF(H2&gt;0,M2/H2,"N/A")</f>
        <v>24.029159017806936</v>
      </c>
      <c r="O2" s="10">
        <v>317</v>
      </c>
      <c r="P2" s="3">
        <v>300</v>
      </c>
      <c r="Q2" s="3">
        <v>30</v>
      </c>
      <c r="R2" s="3">
        <v>37</v>
      </c>
      <c r="S2" s="8">
        <f t="shared" ref="S2:S37" si="3">IF(N2="N/A",0,(O2+P2+Q2+R2)*N2)</f>
        <v>16435.944768179943</v>
      </c>
      <c r="T2" s="7">
        <f t="shared" ref="T2:T37" si="4">IF(I2=0,H2-O2-P2-Q2-R2,I2-O2-P2-Q2-R2)</f>
        <v>3</v>
      </c>
      <c r="U2" s="3">
        <v>0</v>
      </c>
      <c r="V2" s="8">
        <f t="shared" ref="V2:V37" si="5">IF(N2="N/A",0,((T2-U2)*N2)-W2)</f>
        <v>72.087477053420812</v>
      </c>
      <c r="W2" s="8"/>
      <c r="X2" s="11">
        <f t="shared" ref="X2:X37" si="6">IF(N2="N/A",0,U2*N2)</f>
        <v>0</v>
      </c>
    </row>
    <row r="3" spans="1:24" ht="15.5" x14ac:dyDescent="0.35">
      <c r="A3" s="1" t="s">
        <v>90</v>
      </c>
      <c r="B3" s="2" t="s">
        <v>29</v>
      </c>
      <c r="C3" s="3" t="s">
        <v>41</v>
      </c>
      <c r="D3" s="18" t="str">
        <f t="shared" si="0"/>
        <v>mar</v>
      </c>
      <c r="E3" s="5">
        <v>45737</v>
      </c>
      <c r="F3" s="6">
        <v>45761</v>
      </c>
      <c r="G3" s="7">
        <v>20</v>
      </c>
      <c r="H3" s="7">
        <v>2360</v>
      </c>
      <c r="I3" s="7">
        <v>850</v>
      </c>
      <c r="J3" s="8">
        <v>34854.92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17744.793345454542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12028.817272727274</v>
      </c>
      <c r="M3" s="8">
        <f t="shared" si="1"/>
        <v>64628.530618181816</v>
      </c>
      <c r="N3" s="9">
        <f t="shared" si="2"/>
        <v>27.384970600924497</v>
      </c>
      <c r="O3" s="10">
        <v>316</v>
      </c>
      <c r="P3" s="3">
        <v>360</v>
      </c>
      <c r="Q3" s="3">
        <v>150</v>
      </c>
      <c r="R3" s="3">
        <v>20</v>
      </c>
      <c r="S3" s="8">
        <f t="shared" si="3"/>
        <v>23167.685128382123</v>
      </c>
      <c r="T3" s="7">
        <f t="shared" si="4"/>
        <v>4</v>
      </c>
      <c r="U3" s="3">
        <v>0</v>
      </c>
      <c r="V3" s="8">
        <f t="shared" si="5"/>
        <v>109.53988240369799</v>
      </c>
      <c r="W3" s="8"/>
      <c r="X3" s="11">
        <f t="shared" si="6"/>
        <v>0</v>
      </c>
    </row>
    <row r="4" spans="1:24" ht="15.5" x14ac:dyDescent="0.35">
      <c r="A4" s="1">
        <v>1048</v>
      </c>
      <c r="B4" s="2" t="s">
        <v>23</v>
      </c>
      <c r="C4" s="3" t="s">
        <v>91</v>
      </c>
      <c r="D4" s="18" t="str">
        <f t="shared" si="0"/>
        <v>mar</v>
      </c>
      <c r="E4" s="5">
        <v>45738</v>
      </c>
      <c r="F4" s="6">
        <v>45764</v>
      </c>
      <c r="G4" s="7">
        <v>3</v>
      </c>
      <c r="H4" s="7">
        <v>420</v>
      </c>
      <c r="I4" s="7">
        <v>420</v>
      </c>
      <c r="J4" s="8">
        <v>7870.25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4660.6806618181818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2065.6524242424243</v>
      </c>
      <c r="M4" s="8">
        <f t="shared" si="1"/>
        <v>14596.583086060606</v>
      </c>
      <c r="N4" s="9">
        <f t="shared" si="2"/>
        <v>34.753769252525252</v>
      </c>
      <c r="O4" s="10">
        <v>215</v>
      </c>
      <c r="P4" s="3">
        <v>120</v>
      </c>
      <c r="Q4" s="3"/>
      <c r="R4" s="3">
        <v>90</v>
      </c>
      <c r="S4" s="8">
        <f t="shared" si="3"/>
        <v>14770.351932323232</v>
      </c>
      <c r="T4" s="7">
        <f t="shared" si="4"/>
        <v>-5</v>
      </c>
      <c r="U4" s="3">
        <v>20</v>
      </c>
      <c r="V4" s="8">
        <f t="shared" si="5"/>
        <v>-868.84423131313133</v>
      </c>
      <c r="W4" s="8"/>
      <c r="X4" s="11">
        <f t="shared" si="6"/>
        <v>695.07538505050502</v>
      </c>
    </row>
    <row r="5" spans="1:24" ht="15.5" x14ac:dyDescent="0.35">
      <c r="A5" s="1" t="s">
        <v>92</v>
      </c>
      <c r="B5" s="2" t="s">
        <v>29</v>
      </c>
      <c r="C5" s="3" t="s">
        <v>34</v>
      </c>
      <c r="D5" s="18" t="str">
        <f t="shared" si="0"/>
        <v>mar</v>
      </c>
      <c r="E5" s="5">
        <v>45744</v>
      </c>
      <c r="F5" s="6">
        <v>45763</v>
      </c>
      <c r="G5" s="7">
        <v>40</v>
      </c>
      <c r="H5" s="7">
        <v>4785</v>
      </c>
      <c r="I5" s="7">
        <v>1795</v>
      </c>
      <c r="J5" s="8">
        <v>78963.63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35489.586690909084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24057.634545454548</v>
      </c>
      <c r="M5" s="8">
        <f t="shared" si="1"/>
        <v>138510.85123636364</v>
      </c>
      <c r="N5" s="9">
        <f t="shared" si="2"/>
        <v>28.94688636078655</v>
      </c>
      <c r="O5" s="10">
        <v>885</v>
      </c>
      <c r="P5" s="3">
        <v>420</v>
      </c>
      <c r="Q5" s="3">
        <v>90</v>
      </c>
      <c r="R5" s="3">
        <v>400</v>
      </c>
      <c r="S5" s="8">
        <f t="shared" si="3"/>
        <v>51959.661017611856</v>
      </c>
      <c r="T5" s="7">
        <f t="shared" si="4"/>
        <v>0</v>
      </c>
      <c r="U5" s="3">
        <v>0</v>
      </c>
      <c r="V5" s="8">
        <f t="shared" si="5"/>
        <v>0</v>
      </c>
      <c r="W5" s="8"/>
      <c r="X5" s="11">
        <f t="shared" si="6"/>
        <v>0</v>
      </c>
    </row>
    <row r="6" spans="1:24" ht="15.5" x14ac:dyDescent="0.35">
      <c r="A6" s="1">
        <v>1052</v>
      </c>
      <c r="B6" s="2" t="s">
        <v>23</v>
      </c>
      <c r="C6" s="3" t="s">
        <v>36</v>
      </c>
      <c r="D6" s="18" t="str">
        <f t="shared" si="0"/>
        <v>abr</v>
      </c>
      <c r="E6" s="5">
        <v>45750</v>
      </c>
      <c r="F6" s="6">
        <v>45764</v>
      </c>
      <c r="G6" s="7">
        <v>8</v>
      </c>
      <c r="H6" s="7">
        <v>890</v>
      </c>
      <c r="I6" s="7">
        <v>590</v>
      </c>
      <c r="J6" s="8">
        <v>16843.689999999999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13710.957285902503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4170.8640559440555</v>
      </c>
      <c r="M6" s="8">
        <f t="shared" si="1"/>
        <v>34725.511341846555</v>
      </c>
      <c r="N6" s="9">
        <f t="shared" si="2"/>
        <v>39.017428473984893</v>
      </c>
      <c r="O6" s="10">
        <v>398</v>
      </c>
      <c r="P6" s="3">
        <v>110</v>
      </c>
      <c r="Q6" s="3">
        <v>60</v>
      </c>
      <c r="R6" s="3">
        <v>20</v>
      </c>
      <c r="S6" s="8">
        <f t="shared" si="3"/>
        <v>22942.247942703118</v>
      </c>
      <c r="T6" s="7">
        <f t="shared" si="4"/>
        <v>2</v>
      </c>
      <c r="U6" s="3">
        <v>0</v>
      </c>
      <c r="V6" s="8">
        <f t="shared" si="5"/>
        <v>78.034856947969786</v>
      </c>
      <c r="W6" s="8"/>
      <c r="X6" s="11">
        <f t="shared" si="6"/>
        <v>0</v>
      </c>
    </row>
    <row r="7" spans="1:24" ht="15.5" x14ac:dyDescent="0.35">
      <c r="A7" s="1" t="s">
        <v>95</v>
      </c>
      <c r="B7" s="2" t="s">
        <v>29</v>
      </c>
      <c r="C7" s="3" t="s">
        <v>39</v>
      </c>
      <c r="D7" s="18" t="str">
        <f t="shared" si="0"/>
        <v>abr</v>
      </c>
      <c r="E7" s="5">
        <v>45751</v>
      </c>
      <c r="F7" s="6">
        <v>45764</v>
      </c>
      <c r="G7" s="7">
        <v>20</v>
      </c>
      <c r="H7" s="7">
        <v>2530</v>
      </c>
      <c r="I7" s="7">
        <v>1004</v>
      </c>
      <c r="J7" s="8">
        <v>23874.52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20316.046910408433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15889.935909090909</v>
      </c>
      <c r="M7" s="8">
        <f t="shared" si="1"/>
        <v>60080.50281949935</v>
      </c>
      <c r="N7" s="9">
        <f t="shared" si="2"/>
        <v>23.747234316007649</v>
      </c>
      <c r="O7" s="10">
        <v>591</v>
      </c>
      <c r="P7" s="3">
        <v>180</v>
      </c>
      <c r="Q7" s="3">
        <v>90</v>
      </c>
      <c r="R7" s="3">
        <v>140</v>
      </c>
      <c r="S7" s="8">
        <f t="shared" si="3"/>
        <v>23770.981550323657</v>
      </c>
      <c r="T7" s="7">
        <f t="shared" si="4"/>
        <v>3</v>
      </c>
      <c r="U7" s="3">
        <v>0</v>
      </c>
      <c r="V7" s="8">
        <f t="shared" si="5"/>
        <v>71.241702948022947</v>
      </c>
      <c r="W7" s="8"/>
      <c r="X7" s="11">
        <f t="shared" si="6"/>
        <v>0</v>
      </c>
    </row>
    <row r="8" spans="1:24" ht="15.5" x14ac:dyDescent="0.35">
      <c r="A8" s="1">
        <v>1053</v>
      </c>
      <c r="B8" s="2" t="s">
        <v>23</v>
      </c>
      <c r="C8" s="3" t="s">
        <v>77</v>
      </c>
      <c r="D8" s="18" t="str">
        <f t="shared" si="0"/>
        <v>abr</v>
      </c>
      <c r="E8" s="5">
        <v>45754</v>
      </c>
      <c r="F8" s="6">
        <v>45769</v>
      </c>
      <c r="G8" s="7">
        <v>3</v>
      </c>
      <c r="H8" s="7">
        <v>334</v>
      </c>
      <c r="I8" s="7">
        <v>120</v>
      </c>
      <c r="J8" s="8">
        <v>14682.42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5141.6089822134381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1564.0740209790208</v>
      </c>
      <c r="M8" s="8">
        <f t="shared" si="1"/>
        <v>21388.103003192457</v>
      </c>
      <c r="N8" s="9">
        <f t="shared" si="2"/>
        <v>64.036236536504362</v>
      </c>
      <c r="O8" s="10">
        <v>120</v>
      </c>
      <c r="P8" s="3"/>
      <c r="Q8" s="3"/>
      <c r="R8" s="3"/>
      <c r="S8" s="8">
        <f t="shared" si="3"/>
        <v>7684.3483843805234</v>
      </c>
      <c r="T8" s="7">
        <f t="shared" si="4"/>
        <v>0</v>
      </c>
      <c r="U8" s="3">
        <v>0</v>
      </c>
      <c r="V8" s="8">
        <f t="shared" si="5"/>
        <v>0</v>
      </c>
      <c r="W8" s="8"/>
      <c r="X8" s="11">
        <f t="shared" si="6"/>
        <v>0</v>
      </c>
    </row>
    <row r="9" spans="1:24" ht="15.5" x14ac:dyDescent="0.35">
      <c r="A9" s="1">
        <v>1054</v>
      </c>
      <c r="B9" s="2" t="s">
        <v>23</v>
      </c>
      <c r="C9" s="3" t="s">
        <v>83</v>
      </c>
      <c r="D9" s="18" t="str">
        <f t="shared" si="0"/>
        <v>abr</v>
      </c>
      <c r="E9" s="5">
        <v>45755</v>
      </c>
      <c r="F9" s="6">
        <v>45783</v>
      </c>
      <c r="G9" s="7">
        <v>3</v>
      </c>
      <c r="H9" s="7">
        <v>396</v>
      </c>
      <c r="I9" s="7">
        <v>396</v>
      </c>
      <c r="J9" s="8">
        <v>7221.33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5141.6089822134381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1564.0740209790208</v>
      </c>
      <c r="M9" s="8">
        <f t="shared" si="1"/>
        <v>13927.013003192458</v>
      </c>
      <c r="N9" s="9">
        <f t="shared" si="2"/>
        <v>35.169224755536511</v>
      </c>
      <c r="O9" s="10">
        <v>255</v>
      </c>
      <c r="P9" s="3">
        <v>36</v>
      </c>
      <c r="Q9" s="3"/>
      <c r="R9" s="3">
        <v>130</v>
      </c>
      <c r="S9" s="8">
        <f t="shared" si="3"/>
        <v>14806.24362208087</v>
      </c>
      <c r="T9" s="7">
        <f t="shared" si="4"/>
        <v>-25</v>
      </c>
      <c r="U9" s="3">
        <v>0</v>
      </c>
      <c r="V9" s="8">
        <f t="shared" si="5"/>
        <v>-879.23061888841278</v>
      </c>
      <c r="W9" s="8"/>
      <c r="X9" s="11">
        <f t="shared" si="6"/>
        <v>0</v>
      </c>
    </row>
    <row r="10" spans="1:24" ht="15.5" x14ac:dyDescent="0.35">
      <c r="A10" s="1">
        <v>1055</v>
      </c>
      <c r="B10" s="2" t="s">
        <v>23</v>
      </c>
      <c r="C10" s="3" t="s">
        <v>56</v>
      </c>
      <c r="D10" s="18" t="str">
        <f t="shared" si="0"/>
        <v>abr</v>
      </c>
      <c r="E10" s="5">
        <v>45757</v>
      </c>
      <c r="F10" s="6">
        <v>45775</v>
      </c>
      <c r="G10" s="7">
        <v>6</v>
      </c>
      <c r="H10" s="7">
        <v>716</v>
      </c>
      <c r="I10" s="7">
        <v>596</v>
      </c>
      <c r="J10" s="8">
        <v>20223.36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10283.217964426876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3128.1480419580416</v>
      </c>
      <c r="M10" s="8">
        <f t="shared" si="1"/>
        <v>33634.726006384917</v>
      </c>
      <c r="N10" s="9">
        <f t="shared" si="2"/>
        <v>46.975874310593461</v>
      </c>
      <c r="O10" s="10">
        <v>227</v>
      </c>
      <c r="P10" s="3">
        <v>300</v>
      </c>
      <c r="Q10" s="3"/>
      <c r="R10" s="3">
        <v>40</v>
      </c>
      <c r="S10" s="8">
        <f t="shared" si="3"/>
        <v>26635.320734106492</v>
      </c>
      <c r="T10" s="7">
        <f t="shared" si="4"/>
        <v>29</v>
      </c>
      <c r="U10" s="3">
        <v>29</v>
      </c>
      <c r="V10" s="8">
        <f t="shared" si="5"/>
        <v>0</v>
      </c>
      <c r="W10" s="8"/>
      <c r="X10" s="11">
        <f t="shared" si="6"/>
        <v>1362.3003550072103</v>
      </c>
    </row>
    <row r="11" spans="1:24" ht="15.5" x14ac:dyDescent="0.35">
      <c r="A11" s="1">
        <v>1056</v>
      </c>
      <c r="B11" s="2" t="s">
        <v>23</v>
      </c>
      <c r="C11" s="3" t="s">
        <v>52</v>
      </c>
      <c r="D11" s="18" t="str">
        <f t="shared" si="0"/>
        <v>abr</v>
      </c>
      <c r="E11" s="5">
        <v>45758</v>
      </c>
      <c r="F11" s="6">
        <v>45789</v>
      </c>
      <c r="G11" s="7">
        <v>4</v>
      </c>
      <c r="H11" s="7">
        <v>410</v>
      </c>
      <c r="I11" s="7"/>
      <c r="J11" s="8">
        <v>6993.82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6855.4786429512515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2085.4320279720278</v>
      </c>
      <c r="M11" s="8">
        <f t="shared" si="1"/>
        <v>15934.73067092328</v>
      </c>
      <c r="N11" s="9">
        <f t="shared" si="2"/>
        <v>38.865196758349462</v>
      </c>
      <c r="O11" s="10">
        <v>120</v>
      </c>
      <c r="P11" s="3">
        <v>60</v>
      </c>
      <c r="Q11" s="3"/>
      <c r="R11" s="3"/>
      <c r="S11" s="8">
        <f t="shared" si="3"/>
        <v>6995.7354165029028</v>
      </c>
      <c r="T11" s="7">
        <f t="shared" si="4"/>
        <v>230</v>
      </c>
      <c r="U11" s="3">
        <v>230</v>
      </c>
      <c r="V11" s="8">
        <f t="shared" si="5"/>
        <v>0</v>
      </c>
      <c r="W11" s="8"/>
      <c r="X11" s="11">
        <f t="shared" si="6"/>
        <v>8938.995254420377</v>
      </c>
    </row>
    <row r="12" spans="1:24" ht="15.5" x14ac:dyDescent="0.35">
      <c r="A12" s="1">
        <v>1057</v>
      </c>
      <c r="B12" s="2" t="s">
        <v>23</v>
      </c>
      <c r="C12" s="3" t="s">
        <v>35</v>
      </c>
      <c r="D12" s="18" t="str">
        <f t="shared" si="0"/>
        <v>abr</v>
      </c>
      <c r="E12" s="5">
        <v>45762</v>
      </c>
      <c r="F12" s="6">
        <v>45777</v>
      </c>
      <c r="G12" s="7">
        <v>3</v>
      </c>
      <c r="H12" s="7">
        <v>379</v>
      </c>
      <c r="I12" s="7">
        <v>360</v>
      </c>
      <c r="J12" s="8">
        <v>5940.7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5141.6089822134381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1564.0740209790208</v>
      </c>
      <c r="M12" s="8">
        <f t="shared" si="1"/>
        <v>12646.383003192459</v>
      </c>
      <c r="N12" s="9">
        <f t="shared" si="2"/>
        <v>33.367765179927332</v>
      </c>
      <c r="O12" s="10">
        <v>208</v>
      </c>
      <c r="P12" s="3">
        <v>120</v>
      </c>
      <c r="Q12" s="3"/>
      <c r="R12" s="3">
        <v>40</v>
      </c>
      <c r="S12" s="8">
        <f t="shared" si="3"/>
        <v>12279.337586213258</v>
      </c>
      <c r="T12" s="7">
        <f t="shared" si="4"/>
        <v>-8</v>
      </c>
      <c r="U12" s="27">
        <v>10</v>
      </c>
      <c r="V12" s="8">
        <f t="shared" si="5"/>
        <v>-600.61977323869201</v>
      </c>
      <c r="W12" s="8"/>
      <c r="X12" s="11">
        <f t="shared" si="6"/>
        <v>333.67765179927335</v>
      </c>
    </row>
    <row r="13" spans="1:24" ht="15.5" x14ac:dyDescent="0.35">
      <c r="A13" s="1" t="s">
        <v>96</v>
      </c>
      <c r="B13" s="2" t="s">
        <v>29</v>
      </c>
      <c r="C13" s="3" t="s">
        <v>47</v>
      </c>
      <c r="D13" s="18" t="str">
        <f t="shared" si="0"/>
        <v>abr</v>
      </c>
      <c r="E13" s="5">
        <v>45764</v>
      </c>
      <c r="F13" s="6">
        <v>45780</v>
      </c>
      <c r="G13" s="7">
        <v>20</v>
      </c>
      <c r="H13" s="7">
        <v>2454</v>
      </c>
      <c r="I13" s="7">
        <v>2454</v>
      </c>
      <c r="J13" s="8">
        <v>30918.53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20316.046910408433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15889.935909090909</v>
      </c>
      <c r="M13" s="8">
        <f t="shared" si="1"/>
        <v>67124.512819499345</v>
      </c>
      <c r="N13" s="9">
        <f t="shared" si="2"/>
        <v>27.35310220843494</v>
      </c>
      <c r="O13" s="10">
        <v>952</v>
      </c>
      <c r="P13" s="3">
        <v>253</v>
      </c>
      <c r="Q13" s="3">
        <v>60</v>
      </c>
      <c r="R13" s="3">
        <v>400</v>
      </c>
      <c r="S13" s="8">
        <f t="shared" si="3"/>
        <v>45542.915177044175</v>
      </c>
      <c r="T13" s="7">
        <f t="shared" si="4"/>
        <v>789</v>
      </c>
      <c r="U13" s="3">
        <v>789</v>
      </c>
      <c r="V13" s="8">
        <f t="shared" si="5"/>
        <v>0</v>
      </c>
      <c r="W13" s="8"/>
      <c r="X13" s="11">
        <f t="shared" si="6"/>
        <v>21581.597642455166</v>
      </c>
    </row>
    <row r="14" spans="1:24" ht="15.5" x14ac:dyDescent="0.35">
      <c r="A14" s="1">
        <v>1058</v>
      </c>
      <c r="B14" s="2" t="s">
        <v>23</v>
      </c>
      <c r="C14" s="3" t="s">
        <v>97</v>
      </c>
      <c r="D14" s="18" t="str">
        <f t="shared" si="0"/>
        <v>abr</v>
      </c>
      <c r="E14" s="5">
        <v>45765</v>
      </c>
      <c r="F14" s="6">
        <v>45782</v>
      </c>
      <c r="G14" s="7">
        <v>3</v>
      </c>
      <c r="H14" s="7">
        <v>390</v>
      </c>
      <c r="I14" s="7">
        <v>390</v>
      </c>
      <c r="J14" s="8">
        <v>19497.36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5141.6089822134381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1564.0740209790208</v>
      </c>
      <c r="M14" s="8">
        <f t="shared" si="1"/>
        <v>26203.043003192459</v>
      </c>
      <c r="N14" s="9">
        <f t="shared" si="2"/>
        <v>67.187289751775538</v>
      </c>
      <c r="O14" s="10">
        <v>240</v>
      </c>
      <c r="P14" s="3">
        <v>120</v>
      </c>
      <c r="Q14" s="3"/>
      <c r="R14" s="3"/>
      <c r="S14" s="8">
        <f t="shared" si="3"/>
        <v>24187.424310639195</v>
      </c>
      <c r="T14" s="7">
        <f t="shared" si="4"/>
        <v>30</v>
      </c>
      <c r="U14" s="3">
        <v>30</v>
      </c>
      <c r="V14" s="8">
        <f t="shared" si="5"/>
        <v>0</v>
      </c>
      <c r="W14" s="8"/>
      <c r="X14" s="11">
        <f t="shared" si="6"/>
        <v>2015.6186925532661</v>
      </c>
    </row>
    <row r="15" spans="1:24" ht="15.5" x14ac:dyDescent="0.35">
      <c r="A15" s="1">
        <v>1059</v>
      </c>
      <c r="B15" s="2" t="s">
        <v>23</v>
      </c>
      <c r="C15" s="3" t="s">
        <v>31</v>
      </c>
      <c r="D15" s="18" t="str">
        <f t="shared" si="0"/>
        <v>abr</v>
      </c>
      <c r="E15" s="5">
        <v>45770</v>
      </c>
      <c r="F15" s="6">
        <v>45789</v>
      </c>
      <c r="G15" s="7">
        <v>3</v>
      </c>
      <c r="H15" s="7">
        <v>360</v>
      </c>
      <c r="I15" s="7"/>
      <c r="J15" s="8">
        <v>7661.63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5141.6089822134381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1564.0740209790208</v>
      </c>
      <c r="M15" s="8">
        <f t="shared" si="1"/>
        <v>14367.313003192459</v>
      </c>
      <c r="N15" s="9">
        <f t="shared" si="2"/>
        <v>39.909202786645722</v>
      </c>
      <c r="O15" s="10">
        <v>235</v>
      </c>
      <c r="P15" s="3">
        <v>120</v>
      </c>
      <c r="Q15" s="3"/>
      <c r="R15" s="3"/>
      <c r="S15" s="8">
        <f t="shared" si="3"/>
        <v>14167.766989259231</v>
      </c>
      <c r="T15" s="7">
        <f t="shared" si="4"/>
        <v>5</v>
      </c>
      <c r="U15" s="3">
        <v>0</v>
      </c>
      <c r="V15" s="8">
        <f t="shared" si="5"/>
        <v>199.54601393322861</v>
      </c>
      <c r="W15" s="8"/>
      <c r="X15" s="11">
        <f t="shared" si="6"/>
        <v>0</v>
      </c>
    </row>
    <row r="16" spans="1:24" ht="15.5" x14ac:dyDescent="0.35">
      <c r="A16" s="1">
        <v>1060</v>
      </c>
      <c r="B16" s="2" t="s">
        <v>23</v>
      </c>
      <c r="C16" s="3" t="s">
        <v>24</v>
      </c>
      <c r="D16" s="18" t="str">
        <f t="shared" si="0"/>
        <v>abr</v>
      </c>
      <c r="E16" s="5">
        <v>45773</v>
      </c>
      <c r="F16" s="6">
        <v>45784</v>
      </c>
      <c r="G16" s="7">
        <v>8</v>
      </c>
      <c r="H16" s="7">
        <v>890</v>
      </c>
      <c r="I16" s="7">
        <v>890</v>
      </c>
      <c r="J16" s="8">
        <v>17391.64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13710.957285902503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4170.8640559440555</v>
      </c>
      <c r="M16" s="8">
        <f t="shared" si="1"/>
        <v>35273.46134184656</v>
      </c>
      <c r="N16" s="9">
        <f t="shared" si="2"/>
        <v>39.633102631288267</v>
      </c>
      <c r="O16" s="10">
        <v>699</v>
      </c>
      <c r="P16" s="3">
        <v>150</v>
      </c>
      <c r="Q16" s="3"/>
      <c r="R16" s="3">
        <v>60</v>
      </c>
      <c r="S16" s="8">
        <f t="shared" si="3"/>
        <v>36026.490291841037</v>
      </c>
      <c r="T16" s="7">
        <f t="shared" si="4"/>
        <v>-19</v>
      </c>
      <c r="U16" s="3">
        <v>0</v>
      </c>
      <c r="V16" s="8">
        <f t="shared" si="5"/>
        <v>-753.0289499944771</v>
      </c>
      <c r="W16" s="8"/>
      <c r="X16" s="11">
        <f t="shared" si="6"/>
        <v>0</v>
      </c>
    </row>
    <row r="17" spans="1:24" ht="15.5" x14ac:dyDescent="0.35">
      <c r="A17" s="1" t="s">
        <v>98</v>
      </c>
      <c r="B17" s="2" t="s">
        <v>29</v>
      </c>
      <c r="C17" s="3" t="s">
        <v>34</v>
      </c>
      <c r="D17" s="18" t="str">
        <f t="shared" si="0"/>
        <v>abr</v>
      </c>
      <c r="E17" s="5">
        <v>45776</v>
      </c>
      <c r="F17" s="6">
        <v>45787</v>
      </c>
      <c r="G17" s="7">
        <v>40</v>
      </c>
      <c r="H17" s="7">
        <v>4646</v>
      </c>
      <c r="I17" s="7"/>
      <c r="J17" s="8">
        <v>92650.95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40632.093820816866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31779.871818181819</v>
      </c>
      <c r="M17" s="8">
        <f t="shared" si="1"/>
        <v>165062.91563899867</v>
      </c>
      <c r="N17" s="9">
        <f t="shared" si="2"/>
        <v>35.527962901205051</v>
      </c>
      <c r="O17" s="10">
        <v>1500</v>
      </c>
      <c r="P17" s="3">
        <v>810</v>
      </c>
      <c r="Q17" s="3">
        <v>160</v>
      </c>
      <c r="R17" s="3">
        <v>790</v>
      </c>
      <c r="S17" s="8">
        <f t="shared" si="3"/>
        <v>115821.15905792847</v>
      </c>
      <c r="T17" s="7">
        <f t="shared" si="4"/>
        <v>1386</v>
      </c>
      <c r="U17" s="3">
        <v>1386</v>
      </c>
      <c r="V17" s="8">
        <f t="shared" si="5"/>
        <v>0</v>
      </c>
      <c r="W17" s="8"/>
      <c r="X17" s="11">
        <f t="shared" si="6"/>
        <v>49241.7565810702</v>
      </c>
    </row>
    <row r="18" spans="1:24" ht="15.5" x14ac:dyDescent="0.35">
      <c r="A18" s="1">
        <v>1061</v>
      </c>
      <c r="B18" s="2" t="s">
        <v>23</v>
      </c>
      <c r="C18" s="3" t="s">
        <v>59</v>
      </c>
      <c r="D18" s="18" t="str">
        <f t="shared" si="0"/>
        <v>abr</v>
      </c>
      <c r="E18" s="5">
        <v>45777</v>
      </c>
      <c r="F18" s="6">
        <v>45810</v>
      </c>
      <c r="G18" s="7">
        <v>8</v>
      </c>
      <c r="H18" s="7">
        <v>900</v>
      </c>
      <c r="I18" s="7"/>
      <c r="J18" s="8">
        <v>13422.15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13710.957285902503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4170.8640559440555</v>
      </c>
      <c r="M18" s="8">
        <f t="shared" si="1"/>
        <v>31303.971341846554</v>
      </c>
      <c r="N18" s="9">
        <f t="shared" si="2"/>
        <v>34.782190379829508</v>
      </c>
      <c r="O18" s="10">
        <v>0</v>
      </c>
      <c r="P18" s="3"/>
      <c r="Q18" s="3"/>
      <c r="R18" s="3">
        <v>0</v>
      </c>
      <c r="S18" s="8">
        <f t="shared" si="3"/>
        <v>0</v>
      </c>
      <c r="T18" s="7">
        <f t="shared" si="4"/>
        <v>900</v>
      </c>
      <c r="U18" s="3">
        <v>900</v>
      </c>
      <c r="V18" s="8">
        <f t="shared" si="5"/>
        <v>0</v>
      </c>
      <c r="W18" s="8"/>
      <c r="X18" s="11">
        <f t="shared" si="6"/>
        <v>31303.971341846558</v>
      </c>
    </row>
    <row r="19" spans="1:24" ht="15.5" x14ac:dyDescent="0.35">
      <c r="A19" s="1" t="s">
        <v>105</v>
      </c>
      <c r="B19" s="2" t="s">
        <v>29</v>
      </c>
      <c r="C19" s="3" t="s">
        <v>41</v>
      </c>
      <c r="D19" s="18" t="str">
        <f t="shared" si="0"/>
        <v>may</v>
      </c>
      <c r="E19" s="5">
        <v>45779</v>
      </c>
      <c r="F19" s="6">
        <v>45790</v>
      </c>
      <c r="G19" s="7">
        <v>20</v>
      </c>
      <c r="H19" s="7">
        <v>2340</v>
      </c>
      <c r="I19" s="7"/>
      <c r="J19" s="8">
        <v>35305.94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19408.748553598201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13433.883931034485</v>
      </c>
      <c r="M19" s="8">
        <f t="shared" si="1"/>
        <v>68148.572484632692</v>
      </c>
      <c r="N19" s="9">
        <f t="shared" si="2"/>
        <v>29.123321574629355</v>
      </c>
      <c r="O19" s="10">
        <v>822</v>
      </c>
      <c r="P19" s="3">
        <v>380</v>
      </c>
      <c r="Q19" s="3">
        <v>60</v>
      </c>
      <c r="R19" s="3">
        <v>120</v>
      </c>
      <c r="S19" s="8">
        <f t="shared" si="3"/>
        <v>40248.430416137766</v>
      </c>
      <c r="T19" s="7">
        <f t="shared" si="4"/>
        <v>958</v>
      </c>
      <c r="U19" s="3">
        <v>958</v>
      </c>
      <c r="V19" s="8">
        <f t="shared" si="5"/>
        <v>0</v>
      </c>
      <c r="W19" s="8"/>
      <c r="X19" s="11">
        <f t="shared" si="6"/>
        <v>27900.142068494923</v>
      </c>
    </row>
    <row r="20" spans="1:24" ht="15.5" x14ac:dyDescent="0.35">
      <c r="A20" s="1">
        <v>1062</v>
      </c>
      <c r="B20" s="2" t="s">
        <v>23</v>
      </c>
      <c r="C20" s="3" t="s">
        <v>106</v>
      </c>
      <c r="D20" s="18" t="str">
        <f t="shared" si="0"/>
        <v>may</v>
      </c>
      <c r="E20" s="5">
        <v>45780</v>
      </c>
      <c r="F20" s="6">
        <v>45798</v>
      </c>
      <c r="G20" s="7">
        <v>3</v>
      </c>
      <c r="H20" s="7">
        <v>378</v>
      </c>
      <c r="I20" s="7"/>
      <c r="J20" s="17">
        <v>9791.4699999999993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5037.6485134672666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1815.7580229885057</v>
      </c>
      <c r="M20" s="8">
        <f t="shared" si="1"/>
        <v>16644.876536455773</v>
      </c>
      <c r="N20" s="9">
        <f t="shared" si="2"/>
        <v>44.03406491125866</v>
      </c>
      <c r="O20" s="10">
        <f>177</f>
        <v>177</v>
      </c>
      <c r="P20" s="3"/>
      <c r="Q20" s="3">
        <v>40</v>
      </c>
      <c r="R20" s="3">
        <v>20</v>
      </c>
      <c r="S20" s="8">
        <f t="shared" si="3"/>
        <v>10436.073383968302</v>
      </c>
      <c r="T20" s="7">
        <f t="shared" si="4"/>
        <v>141</v>
      </c>
      <c r="U20" s="3">
        <v>141</v>
      </c>
      <c r="V20" s="8">
        <f t="shared" si="5"/>
        <v>0</v>
      </c>
      <c r="W20" s="8"/>
      <c r="X20" s="11">
        <f t="shared" si="6"/>
        <v>6208.8031524874714</v>
      </c>
    </row>
    <row r="21" spans="1:24" ht="15.5" x14ac:dyDescent="0.35">
      <c r="A21" s="1">
        <v>1063</v>
      </c>
      <c r="B21" s="2" t="s">
        <v>23</v>
      </c>
      <c r="C21" s="3" t="s">
        <v>35</v>
      </c>
      <c r="D21" s="18" t="str">
        <f t="shared" si="0"/>
        <v>may</v>
      </c>
      <c r="E21" s="5">
        <v>45783</v>
      </c>
      <c r="F21" s="6">
        <v>45796</v>
      </c>
      <c r="G21" s="7">
        <v>4</v>
      </c>
      <c r="H21" s="7">
        <v>452</v>
      </c>
      <c r="I21" s="7"/>
      <c r="J21" s="8">
        <v>6945.06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6716.8646846230222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2421.0106973180077</v>
      </c>
      <c r="M21" s="8">
        <f t="shared" si="1"/>
        <v>16082.935381941032</v>
      </c>
      <c r="N21" s="9">
        <f t="shared" si="2"/>
        <v>35.581715446772193</v>
      </c>
      <c r="O21" s="10">
        <v>195</v>
      </c>
      <c r="P21" s="3">
        <v>60</v>
      </c>
      <c r="Q21" s="3"/>
      <c r="R21" s="3">
        <v>100</v>
      </c>
      <c r="S21" s="8">
        <f t="shared" si="3"/>
        <v>12631.508983604128</v>
      </c>
      <c r="T21" s="7">
        <f t="shared" si="4"/>
        <v>97</v>
      </c>
      <c r="U21" s="27">
        <v>97</v>
      </c>
      <c r="V21" s="8">
        <f t="shared" si="5"/>
        <v>0</v>
      </c>
      <c r="W21" s="8"/>
      <c r="X21" s="11">
        <f t="shared" si="6"/>
        <v>3451.4263983369028</v>
      </c>
    </row>
    <row r="22" spans="1:24" ht="15.5" x14ac:dyDescent="0.35">
      <c r="A22" s="1">
        <v>1064</v>
      </c>
      <c r="B22" s="2" t="s">
        <v>23</v>
      </c>
      <c r="C22" s="3" t="s">
        <v>79</v>
      </c>
      <c r="D22" s="18" t="str">
        <f t="shared" si="0"/>
        <v>may</v>
      </c>
      <c r="E22" s="5">
        <v>45784</v>
      </c>
      <c r="F22" s="6">
        <v>45806</v>
      </c>
      <c r="G22" s="7">
        <v>3</v>
      </c>
      <c r="H22" s="7">
        <v>360</v>
      </c>
      <c r="I22" s="7"/>
      <c r="J22" s="8">
        <v>9946.77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5037.6485134672666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1815.7580229885057</v>
      </c>
      <c r="M22" s="8">
        <f t="shared" si="1"/>
        <v>16800.176536455772</v>
      </c>
      <c r="N22" s="9">
        <f t="shared" si="2"/>
        <v>46.667157045710482</v>
      </c>
      <c r="O22" s="10">
        <v>60</v>
      </c>
      <c r="P22" s="3">
        <v>60</v>
      </c>
      <c r="Q22" s="3"/>
      <c r="R22" s="3"/>
      <c r="S22" s="8">
        <f t="shared" si="3"/>
        <v>5600.0588454852577</v>
      </c>
      <c r="T22" s="7">
        <f t="shared" si="4"/>
        <v>240</v>
      </c>
      <c r="U22" s="3">
        <v>240</v>
      </c>
      <c r="V22" s="8">
        <f t="shared" si="5"/>
        <v>0</v>
      </c>
      <c r="W22" s="8"/>
      <c r="X22" s="11">
        <f t="shared" si="6"/>
        <v>11200.117690970515</v>
      </c>
    </row>
    <row r="23" spans="1:24" ht="15.5" x14ac:dyDescent="0.35">
      <c r="A23" s="1" t="s">
        <v>107</v>
      </c>
      <c r="B23" s="2" t="s">
        <v>29</v>
      </c>
      <c r="C23" s="3" t="s">
        <v>39</v>
      </c>
      <c r="D23" s="18" t="str">
        <f t="shared" si="0"/>
        <v>may</v>
      </c>
      <c r="E23" s="5">
        <v>45785</v>
      </c>
      <c r="F23" s="6">
        <v>45797</v>
      </c>
      <c r="G23" s="7">
        <v>20</v>
      </c>
      <c r="H23" s="7">
        <v>2600</v>
      </c>
      <c r="I23" s="7"/>
      <c r="J23" s="8">
        <v>19339.72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19408.748553598201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13433.883931034485</v>
      </c>
      <c r="M23" s="8">
        <f t="shared" si="1"/>
        <v>52182.352484632684</v>
      </c>
      <c r="N23" s="9">
        <f t="shared" si="2"/>
        <v>20.070135571012571</v>
      </c>
      <c r="O23" s="10">
        <v>900</v>
      </c>
      <c r="P23" s="3">
        <v>120</v>
      </c>
      <c r="Q23" s="3">
        <v>120</v>
      </c>
      <c r="R23" s="3">
        <v>180</v>
      </c>
      <c r="S23" s="8">
        <f t="shared" si="3"/>
        <v>26492.578953736593</v>
      </c>
      <c r="T23" s="7">
        <f t="shared" si="4"/>
        <v>1280</v>
      </c>
      <c r="U23" s="3">
        <v>1280</v>
      </c>
      <c r="V23" s="8">
        <f t="shared" si="5"/>
        <v>0</v>
      </c>
      <c r="W23" s="8"/>
      <c r="X23" s="11">
        <f t="shared" si="6"/>
        <v>25689.773530896091</v>
      </c>
    </row>
    <row r="24" spans="1:24" ht="15.5" x14ac:dyDescent="0.35">
      <c r="A24" s="1">
        <v>1065</v>
      </c>
      <c r="B24" s="2" t="s">
        <v>23</v>
      </c>
      <c r="C24" s="3" t="s">
        <v>108</v>
      </c>
      <c r="D24" s="18" t="str">
        <f t="shared" si="0"/>
        <v>may</v>
      </c>
      <c r="E24" s="5">
        <v>45786</v>
      </c>
      <c r="F24" s="6">
        <v>45803</v>
      </c>
      <c r="G24" s="7">
        <v>6</v>
      </c>
      <c r="H24" s="7">
        <v>623</v>
      </c>
      <c r="I24" s="7"/>
      <c r="J24" s="8">
        <v>19500.78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10075.297026934533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3631.5160459770113</v>
      </c>
      <c r="M24" s="8">
        <f t="shared" si="1"/>
        <v>33207.593072911543</v>
      </c>
      <c r="N24" s="9">
        <f t="shared" si="2"/>
        <v>53.302717613020135</v>
      </c>
      <c r="O24" s="10">
        <v>60</v>
      </c>
      <c r="P24" s="3"/>
      <c r="Q24" s="3"/>
      <c r="R24" s="3"/>
      <c r="S24" s="8">
        <f t="shared" si="3"/>
        <v>3198.1630567812081</v>
      </c>
      <c r="T24" s="7">
        <f t="shared" si="4"/>
        <v>563</v>
      </c>
      <c r="U24" s="3">
        <v>563</v>
      </c>
      <c r="V24" s="8">
        <f t="shared" si="5"/>
        <v>0</v>
      </c>
      <c r="W24" s="8"/>
      <c r="X24" s="11">
        <f t="shared" si="6"/>
        <v>30009.430016130336</v>
      </c>
    </row>
    <row r="25" spans="1:24" ht="15.5" x14ac:dyDescent="0.35">
      <c r="A25" s="1">
        <v>1066</v>
      </c>
      <c r="B25" s="2" t="s">
        <v>23</v>
      </c>
      <c r="C25" s="3" t="s">
        <v>39</v>
      </c>
      <c r="D25" s="18" t="str">
        <f t="shared" si="0"/>
        <v>may</v>
      </c>
      <c r="E25" s="5">
        <v>45790</v>
      </c>
      <c r="F25" s="6">
        <v>45801</v>
      </c>
      <c r="G25" s="7">
        <v>4</v>
      </c>
      <c r="H25" s="7">
        <v>466</v>
      </c>
      <c r="I25" s="7"/>
      <c r="J25" s="8">
        <v>4658.26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6716.8646846230222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2421.0106973180077</v>
      </c>
      <c r="M25" s="8">
        <f t="shared" si="1"/>
        <v>13796.135381941031</v>
      </c>
      <c r="N25" s="9">
        <f t="shared" si="2"/>
        <v>29.605440733779037</v>
      </c>
      <c r="O25" s="10">
        <v>0</v>
      </c>
      <c r="P25" s="3"/>
      <c r="Q25" s="3"/>
      <c r="R25" s="3">
        <v>0</v>
      </c>
      <c r="S25" s="8">
        <f t="shared" si="3"/>
        <v>0</v>
      </c>
      <c r="T25" s="7">
        <f t="shared" si="4"/>
        <v>466</v>
      </c>
      <c r="U25" s="3">
        <v>466</v>
      </c>
      <c r="V25" s="8">
        <f t="shared" si="5"/>
        <v>0</v>
      </c>
      <c r="W25" s="8"/>
      <c r="X25" s="11">
        <f t="shared" si="6"/>
        <v>13796.135381941031</v>
      </c>
    </row>
    <row r="26" spans="1:24" ht="15.5" x14ac:dyDescent="0.35">
      <c r="A26" s="1">
        <v>1067</v>
      </c>
      <c r="B26" s="2" t="s">
        <v>23</v>
      </c>
      <c r="C26" s="3" t="s">
        <v>56</v>
      </c>
      <c r="D26" s="18" t="str">
        <f t="shared" si="0"/>
        <v>may</v>
      </c>
      <c r="E26" s="5">
        <v>45791</v>
      </c>
      <c r="F26" s="6">
        <v>45812</v>
      </c>
      <c r="G26" s="7">
        <v>3</v>
      </c>
      <c r="H26" s="7">
        <v>333</v>
      </c>
      <c r="I26" s="7"/>
      <c r="J26" s="17">
        <v>10071.25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5037.6485134672666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1815.7580229885057</v>
      </c>
      <c r="M26" s="8">
        <f t="shared" si="1"/>
        <v>16924.656536455772</v>
      </c>
      <c r="N26" s="9">
        <f t="shared" si="2"/>
        <v>50.824794403771087</v>
      </c>
      <c r="O26" s="10"/>
      <c r="P26" s="3"/>
      <c r="Q26" s="3"/>
      <c r="R26" s="3"/>
      <c r="S26" s="8">
        <f t="shared" si="3"/>
        <v>0</v>
      </c>
      <c r="T26" s="7">
        <f t="shared" si="4"/>
        <v>333</v>
      </c>
      <c r="U26" s="3">
        <v>333</v>
      </c>
      <c r="V26" s="8">
        <f t="shared" si="5"/>
        <v>0</v>
      </c>
      <c r="W26" s="8"/>
      <c r="X26" s="11">
        <f t="shared" si="6"/>
        <v>16924.656536455772</v>
      </c>
    </row>
    <row r="27" spans="1:24" ht="15.5" x14ac:dyDescent="0.35">
      <c r="A27" s="1" t="s">
        <v>109</v>
      </c>
      <c r="B27" s="2" t="s">
        <v>29</v>
      </c>
      <c r="C27" s="3" t="s">
        <v>47</v>
      </c>
      <c r="D27" s="18" t="str">
        <f t="shared" si="0"/>
        <v>may</v>
      </c>
      <c r="E27" s="5">
        <v>45797</v>
      </c>
      <c r="F27" s="6">
        <v>45817</v>
      </c>
      <c r="G27" s="7">
        <v>20</v>
      </c>
      <c r="H27" s="7">
        <v>2426</v>
      </c>
      <c r="I27" s="7"/>
      <c r="J27" s="8">
        <v>25584.32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19408.748553598201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13433.883931034485</v>
      </c>
      <c r="M27" s="8">
        <f t="shared" si="1"/>
        <v>58426.952484632689</v>
      </c>
      <c r="N27" s="9">
        <f t="shared" si="2"/>
        <v>24.083657248405888</v>
      </c>
      <c r="O27" s="10"/>
      <c r="P27" s="3"/>
      <c r="Q27" s="3"/>
      <c r="R27" s="3"/>
      <c r="S27" s="8">
        <f t="shared" si="3"/>
        <v>0</v>
      </c>
      <c r="T27" s="7">
        <f t="shared" si="4"/>
        <v>2426</v>
      </c>
      <c r="U27" s="3">
        <v>2426</v>
      </c>
      <c r="V27" s="8">
        <f t="shared" si="5"/>
        <v>0</v>
      </c>
      <c r="W27" s="8"/>
      <c r="X27" s="11">
        <f t="shared" si="6"/>
        <v>58426.952484632682</v>
      </c>
    </row>
    <row r="28" spans="1:24" ht="15.5" x14ac:dyDescent="0.35">
      <c r="A28" s="1">
        <v>1068</v>
      </c>
      <c r="B28" s="2" t="s">
        <v>23</v>
      </c>
      <c r="C28" s="3" t="s">
        <v>42</v>
      </c>
      <c r="D28" s="18" t="str">
        <f t="shared" si="0"/>
        <v>may</v>
      </c>
      <c r="E28" s="5">
        <v>45798</v>
      </c>
      <c r="F28" s="6">
        <v>45825</v>
      </c>
      <c r="G28" s="7">
        <v>4</v>
      </c>
      <c r="H28" s="7">
        <v>450</v>
      </c>
      <c r="I28" s="7"/>
      <c r="J28" s="8">
        <v>7136.27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6716.8646846230222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2421.0106973180077</v>
      </c>
      <c r="M28" s="8">
        <f t="shared" si="1"/>
        <v>16274.145381941031</v>
      </c>
      <c r="N28" s="9">
        <f t="shared" si="2"/>
        <v>36.164767515424515</v>
      </c>
      <c r="O28" s="10"/>
      <c r="P28" s="3"/>
      <c r="Q28" s="3"/>
      <c r="R28" s="3"/>
      <c r="S28" s="8">
        <f t="shared" si="3"/>
        <v>0</v>
      </c>
      <c r="T28" s="7">
        <f t="shared" si="4"/>
        <v>450</v>
      </c>
      <c r="U28" s="3">
        <v>450</v>
      </c>
      <c r="V28" s="8">
        <f t="shared" si="5"/>
        <v>0</v>
      </c>
      <c r="W28" s="8"/>
      <c r="X28" s="11">
        <f t="shared" si="6"/>
        <v>16274.145381941033</v>
      </c>
    </row>
    <row r="29" spans="1:24" ht="15.5" x14ac:dyDescent="0.35">
      <c r="A29" s="1">
        <v>1069</v>
      </c>
      <c r="B29" s="2" t="s">
        <v>23</v>
      </c>
      <c r="C29" s="3" t="s">
        <v>32</v>
      </c>
      <c r="D29" s="18" t="str">
        <f t="shared" si="0"/>
        <v>may</v>
      </c>
      <c r="E29" s="5">
        <v>45799</v>
      </c>
      <c r="F29" s="6">
        <v>45824</v>
      </c>
      <c r="G29" s="7">
        <v>3</v>
      </c>
      <c r="H29" s="7">
        <v>300</v>
      </c>
      <c r="I29" s="7"/>
      <c r="J29" s="8">
        <v>11369.49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5037.6485134672666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1815.7580229885057</v>
      </c>
      <c r="M29" s="8">
        <f t="shared" si="1"/>
        <v>18222.896536455773</v>
      </c>
      <c r="N29" s="9">
        <f t="shared" si="2"/>
        <v>60.742988454852579</v>
      </c>
      <c r="O29" s="10"/>
      <c r="P29" s="3"/>
      <c r="Q29" s="3"/>
      <c r="R29" s="3"/>
      <c r="S29" s="8">
        <f t="shared" si="3"/>
        <v>0</v>
      </c>
      <c r="T29" s="7">
        <f t="shared" si="4"/>
        <v>300</v>
      </c>
      <c r="U29" s="3">
        <v>300</v>
      </c>
      <c r="V29" s="8">
        <f t="shared" si="5"/>
        <v>0</v>
      </c>
      <c r="W29" s="8"/>
      <c r="X29" s="11">
        <f t="shared" si="6"/>
        <v>18222.896536455773</v>
      </c>
    </row>
    <row r="30" spans="1:24" ht="15.5" x14ac:dyDescent="0.35">
      <c r="A30" s="1">
        <v>1070</v>
      </c>
      <c r="B30" s="2" t="s">
        <v>23</v>
      </c>
      <c r="C30" s="3" t="s">
        <v>24</v>
      </c>
      <c r="D30" s="18" t="str">
        <f t="shared" si="0"/>
        <v>may</v>
      </c>
      <c r="E30" s="5">
        <v>45805</v>
      </c>
      <c r="F30" s="6">
        <v>45817</v>
      </c>
      <c r="G30" s="7">
        <v>8</v>
      </c>
      <c r="H30" s="7">
        <v>868</v>
      </c>
      <c r="I30" s="7"/>
      <c r="J30" s="17">
        <v>20968.189999999999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13433.729369246044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4842.0213946360154</v>
      </c>
      <c r="M30" s="8">
        <f t="shared" si="1"/>
        <v>39243.940763882056</v>
      </c>
      <c r="N30" s="9">
        <f t="shared" si="2"/>
        <v>45.211913322444765</v>
      </c>
      <c r="O30" s="10"/>
      <c r="P30" s="3"/>
      <c r="Q30" s="3"/>
      <c r="R30" s="3"/>
      <c r="S30" s="8">
        <f t="shared" si="3"/>
        <v>0</v>
      </c>
      <c r="T30" s="7">
        <f t="shared" si="4"/>
        <v>868</v>
      </c>
      <c r="U30" s="3">
        <v>868</v>
      </c>
      <c r="V30" s="8">
        <f t="shared" si="5"/>
        <v>0</v>
      </c>
      <c r="W30" s="8"/>
      <c r="X30" s="11">
        <f t="shared" si="6"/>
        <v>39243.940763882056</v>
      </c>
    </row>
    <row r="31" spans="1:24" ht="15.5" x14ac:dyDescent="0.35">
      <c r="A31" s="1" t="s">
        <v>110</v>
      </c>
      <c r="B31" s="2" t="s">
        <v>29</v>
      </c>
      <c r="C31" s="3" t="s">
        <v>34</v>
      </c>
      <c r="D31" s="18" t="str">
        <f t="shared" si="0"/>
        <v>may</v>
      </c>
      <c r="E31" s="5">
        <v>45806</v>
      </c>
      <c r="F31" s="6">
        <v>45821</v>
      </c>
      <c r="G31" s="7">
        <v>40</v>
      </c>
      <c r="H31" s="7">
        <v>4742</v>
      </c>
      <c r="I31" s="7"/>
      <c r="J31" s="8">
        <v>82277.570000000007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38817.497107196403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26867.767862068969</v>
      </c>
      <c r="M31" s="8">
        <f t="shared" si="1"/>
        <v>147962.83496926539</v>
      </c>
      <c r="N31" s="9">
        <f t="shared" si="2"/>
        <v>31.202622304779709</v>
      </c>
      <c r="O31" s="10"/>
      <c r="P31" s="3"/>
      <c r="Q31" s="3"/>
      <c r="R31" s="3"/>
      <c r="S31" s="8">
        <f t="shared" si="3"/>
        <v>0</v>
      </c>
      <c r="T31" s="7">
        <f t="shared" si="4"/>
        <v>4742</v>
      </c>
      <c r="U31" s="3">
        <v>4742</v>
      </c>
      <c r="V31" s="8">
        <f t="shared" si="5"/>
        <v>0</v>
      </c>
      <c r="W31" s="8"/>
      <c r="X31" s="11">
        <f t="shared" si="6"/>
        <v>147962.83496926539</v>
      </c>
    </row>
    <row r="32" spans="1:24" ht="15.5" x14ac:dyDescent="0.35">
      <c r="A32" s="1">
        <v>1071</v>
      </c>
      <c r="B32" s="2" t="s">
        <v>23</v>
      </c>
      <c r="C32" s="3" t="s">
        <v>35</v>
      </c>
      <c r="D32" s="18" t="str">
        <f t="shared" si="0"/>
        <v>may</v>
      </c>
      <c r="E32" s="5">
        <v>45806</v>
      </c>
      <c r="F32" s="6">
        <v>45819</v>
      </c>
      <c r="G32" s="7">
        <v>4</v>
      </c>
      <c r="H32" s="7">
        <v>461</v>
      </c>
      <c r="I32" s="7"/>
      <c r="J32" s="8">
        <v>8359.19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6716.8646846230222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2421.0106973180077</v>
      </c>
      <c r="M32" s="8">
        <f t="shared" si="1"/>
        <v>17497.065381941029</v>
      </c>
      <c r="N32" s="9">
        <f t="shared" si="2"/>
        <v>37.954588681000061</v>
      </c>
      <c r="O32" s="10"/>
      <c r="P32" s="3"/>
      <c r="Q32" s="3"/>
      <c r="R32" s="3"/>
      <c r="S32" s="8">
        <f t="shared" si="3"/>
        <v>0</v>
      </c>
      <c r="T32" s="7">
        <f t="shared" si="4"/>
        <v>461</v>
      </c>
      <c r="U32" s="3">
        <v>461</v>
      </c>
      <c r="V32" s="8">
        <f t="shared" si="5"/>
        <v>0</v>
      </c>
      <c r="W32" s="8"/>
      <c r="X32" s="11">
        <f t="shared" si="6"/>
        <v>17497.065381941029</v>
      </c>
    </row>
    <row r="33" spans="1:24" ht="15.5" x14ac:dyDescent="0.35">
      <c r="A33" s="1">
        <v>1072</v>
      </c>
      <c r="B33" s="2" t="s">
        <v>23</v>
      </c>
      <c r="C33" s="3" t="s">
        <v>48</v>
      </c>
      <c r="D33" s="18" t="str">
        <f t="shared" si="0"/>
        <v>may</v>
      </c>
      <c r="E33" s="5">
        <v>45807</v>
      </c>
      <c r="F33" s="6">
        <v>45810</v>
      </c>
      <c r="G33" s="7">
        <v>3</v>
      </c>
      <c r="H33" s="7">
        <v>342</v>
      </c>
      <c r="I33" s="7"/>
      <c r="J33" s="8">
        <v>7123.66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5037.6485134672666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1815.7580229885057</v>
      </c>
      <c r="M33" s="8">
        <f t="shared" si="1"/>
        <v>13977.066536455772</v>
      </c>
      <c r="N33" s="9">
        <f t="shared" si="2"/>
        <v>40.868615603671849</v>
      </c>
      <c r="O33" s="10"/>
      <c r="P33" s="3"/>
      <c r="Q33" s="3"/>
      <c r="R33" s="3"/>
      <c r="S33" s="8">
        <f t="shared" si="3"/>
        <v>0</v>
      </c>
      <c r="T33" s="7">
        <f t="shared" si="4"/>
        <v>342</v>
      </c>
      <c r="U33" s="3">
        <v>342</v>
      </c>
      <c r="V33" s="8">
        <f t="shared" si="5"/>
        <v>0</v>
      </c>
      <c r="W33" s="8"/>
      <c r="X33" s="11">
        <f t="shared" si="6"/>
        <v>13977.066536455772</v>
      </c>
    </row>
    <row r="34" spans="1:24" ht="15.5" x14ac:dyDescent="0.35">
      <c r="A34" s="1"/>
      <c r="B34" s="2"/>
      <c r="C34" s="3"/>
      <c r="D34" s="18" t="str">
        <f t="shared" si="0"/>
        <v>-</v>
      </c>
      <c r="E34" s="20"/>
      <c r="F34" s="7"/>
      <c r="G34" s="7"/>
      <c r="H34" s="7"/>
      <c r="I34" s="7"/>
      <c r="J34" s="8"/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0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0</v>
      </c>
      <c r="M34" s="8">
        <f t="shared" si="1"/>
        <v>0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6"/>
        <v>0</v>
      </c>
    </row>
    <row r="35" spans="1:24" ht="15.5" x14ac:dyDescent="0.35">
      <c r="A35" s="1"/>
      <c r="B35" s="2"/>
      <c r="C35" s="3"/>
      <c r="D35" s="18" t="str">
        <f t="shared" si="0"/>
        <v>-</v>
      </c>
      <c r="E35" s="20"/>
      <c r="F35" s="7"/>
      <c r="G35" s="7"/>
      <c r="H35" s="7"/>
      <c r="I35" s="7"/>
      <c r="J35" s="8"/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0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0</v>
      </c>
      <c r="M35" s="8">
        <f t="shared" si="1"/>
        <v>0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6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9" spans="1:24" ht="15.75" customHeight="1" x14ac:dyDescent="0.25">
      <c r="F39" s="22"/>
      <c r="I39" s="22" t="s">
        <v>111</v>
      </c>
      <c r="J39" s="22">
        <f>SUMIF(D2:D37,I39,J2:J37)</f>
        <v>278377.93999999994</v>
      </c>
      <c r="K39" s="22"/>
      <c r="M39" s="22">
        <f>SUMIF(D2:D37,I39,M2:M37)</f>
        <v>545392.20047000004</v>
      </c>
      <c r="N39" s="22"/>
    </row>
    <row r="40" spans="1:24" ht="15.75" customHeight="1" x14ac:dyDescent="0.25">
      <c r="J40" s="22"/>
      <c r="U40" s="21" t="s">
        <v>61</v>
      </c>
      <c r="V40" s="21" t="s">
        <v>62</v>
      </c>
    </row>
    <row r="41" spans="1:24" ht="15.75" customHeight="1" x14ac:dyDescent="0.25">
      <c r="F41" s="22"/>
      <c r="S41" s="21">
        <f t="shared" ref="S41:S42" si="7">W41*200</f>
        <v>1883.2</v>
      </c>
      <c r="T41" s="21" t="s">
        <v>63</v>
      </c>
      <c r="U41" s="21">
        <v>500</v>
      </c>
      <c r="V41" s="21">
        <f>9416/2</f>
        <v>4708</v>
      </c>
      <c r="W41" s="21">
        <f t="shared" ref="W41:W42" si="8">V41/U41</f>
        <v>9.4160000000000004</v>
      </c>
    </row>
    <row r="42" spans="1:24" ht="15.75" customHeight="1" x14ac:dyDescent="0.25">
      <c r="G42" s="22"/>
      <c r="I42" s="21" t="s">
        <v>64</v>
      </c>
      <c r="J42" s="21" t="s">
        <v>65</v>
      </c>
      <c r="K42" s="21" t="s">
        <v>66</v>
      </c>
      <c r="L42" s="21" t="s">
        <v>112</v>
      </c>
      <c r="M42" s="21" t="s">
        <v>101</v>
      </c>
      <c r="N42" s="21" t="s">
        <v>102</v>
      </c>
      <c r="O42" s="21" t="s">
        <v>70</v>
      </c>
      <c r="P42" s="21"/>
      <c r="Q42" s="21"/>
      <c r="R42" s="21" t="s">
        <v>71</v>
      </c>
      <c r="S42" s="21">
        <f t="shared" si="7"/>
        <v>3772.4869565217391</v>
      </c>
      <c r="T42" s="21" t="s">
        <v>72</v>
      </c>
      <c r="U42" s="21">
        <v>460</v>
      </c>
      <c r="V42" s="21">
        <v>8676.7199999999993</v>
      </c>
      <c r="W42" s="21">
        <f t="shared" si="8"/>
        <v>18.862434782608695</v>
      </c>
      <c r="X42" s="21">
        <f>ROUND(W42*150,2)</f>
        <v>2829.37</v>
      </c>
    </row>
    <row r="43" spans="1:24" ht="15.75" customHeight="1" x14ac:dyDescent="0.25">
      <c r="D43" s="22"/>
      <c r="E43" s="22">
        <v>9791.4699999999993</v>
      </c>
      <c r="F43" s="21" t="s">
        <v>80</v>
      </c>
      <c r="G43" s="21">
        <f t="shared" ref="G43:G47" si="9">SUM(I43:R43)</f>
        <v>200</v>
      </c>
      <c r="H43" s="22">
        <f>G43+J20</f>
        <v>9991.4699999999993</v>
      </c>
      <c r="I43" s="24"/>
      <c r="J43" s="24"/>
      <c r="K43" s="24"/>
      <c r="L43" s="24">
        <v>200</v>
      </c>
      <c r="M43" s="24"/>
      <c r="N43" s="24"/>
      <c r="O43" s="24"/>
      <c r="P43" s="24"/>
      <c r="Q43" s="24"/>
      <c r="R43" s="24"/>
      <c r="S43" s="21">
        <f>ROUND(S42+S41,2)</f>
        <v>5655.69</v>
      </c>
    </row>
    <row r="44" spans="1:24" ht="15.75" customHeight="1" x14ac:dyDescent="0.25">
      <c r="D44" s="22"/>
      <c r="E44" s="22">
        <v>10071.25</v>
      </c>
      <c r="F44" s="21" t="s">
        <v>103</v>
      </c>
      <c r="G44" s="21">
        <f t="shared" si="9"/>
        <v>360</v>
      </c>
      <c r="H44" s="22">
        <f>G44+J26</f>
        <v>10431.25</v>
      </c>
      <c r="I44" s="24">
        <v>360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S43/2</f>
        <v>2827.8449999999998</v>
      </c>
    </row>
    <row r="45" spans="1:24" ht="15.75" customHeight="1" x14ac:dyDescent="0.25">
      <c r="D45" s="22"/>
      <c r="E45" s="22">
        <v>20968.189999999999</v>
      </c>
      <c r="F45" s="21" t="s">
        <v>24</v>
      </c>
      <c r="G45" s="21">
        <f t="shared" si="9"/>
        <v>8805.6899999999987</v>
      </c>
      <c r="H45" s="22">
        <f>G45+J30</f>
        <v>29773.879999999997</v>
      </c>
      <c r="I45" s="24">
        <v>300</v>
      </c>
      <c r="J45" s="24">
        <v>5655.69</v>
      </c>
      <c r="K45" s="24">
        <v>2750</v>
      </c>
      <c r="L45" s="24"/>
      <c r="M45" s="24"/>
      <c r="N45" s="24"/>
      <c r="O45" s="24"/>
      <c r="P45" s="24"/>
      <c r="Q45" s="24"/>
      <c r="R45" s="24">
        <v>100</v>
      </c>
    </row>
    <row r="46" spans="1:24" ht="15.75" customHeight="1" x14ac:dyDescent="0.25">
      <c r="D46" s="22"/>
      <c r="E46" s="22"/>
      <c r="G46" s="21">
        <f t="shared" si="9"/>
        <v>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24" ht="15.75" customHeight="1" x14ac:dyDescent="0.25">
      <c r="D47" s="22"/>
      <c r="E47" s="22"/>
      <c r="G47" s="21">
        <f t="shared" si="9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50" spans="3:14" ht="15.75" customHeight="1" x14ac:dyDescent="0.25">
      <c r="J50" s="22"/>
    </row>
    <row r="51" spans="3:14" ht="15.75" customHeight="1" x14ac:dyDescent="0.25">
      <c r="N51" s="22">
        <f>AVERAGE(N39,Abril!N40,Marzo!N41,Febrero!N40,Enero!N44)</f>
        <v>46.552407555796762</v>
      </c>
    </row>
    <row r="54" spans="3:14" ht="15.75" customHeight="1" x14ac:dyDescent="0.25">
      <c r="C54" s="26"/>
    </row>
  </sheetData>
  <conditionalFormatting sqref="N2:N37">
    <cfRule type="cellIs" dxfId="13" priority="1" operator="greaterThan">
      <formula>60</formula>
    </cfRule>
    <cfRule type="cellIs" dxfId="12" priority="2" operator="greaterThan">
      <formula>45</formula>
    </cfRule>
  </conditionalFormatting>
  <dataValidations count="1">
    <dataValidation type="list" allowBlank="1" showErrorMessage="1" sqref="B2:B37" xr:uid="{00000000-0002-0000-04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55"/>
  <sheetViews>
    <sheetView workbookViewId="0">
      <pane xSplit="3" topLeftCell="D1" activePane="topRight" state="frozen"/>
      <selection pane="topRight" activeCell="X1" sqref="A1:X2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>
        <v>1048</v>
      </c>
      <c r="B2" s="2" t="s">
        <v>23</v>
      </c>
      <c r="C2" s="3" t="s">
        <v>91</v>
      </c>
      <c r="D2" s="18" t="str">
        <f t="shared" ref="D2:D38" si="0">IF(E2="","-",(TEXT(E2,"MMM")))</f>
        <v>mar</v>
      </c>
      <c r="E2" s="5">
        <v>45738</v>
      </c>
      <c r="F2" s="6">
        <v>45764</v>
      </c>
      <c r="G2" s="7">
        <v>3</v>
      </c>
      <c r="H2" s="7">
        <v>420</v>
      </c>
      <c r="I2" s="7">
        <v>20</v>
      </c>
      <c r="J2" s="8">
        <v>7870.25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4660.6806618181818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2065.6524242424243</v>
      </c>
      <c r="M2" s="8">
        <f t="shared" ref="M2:M38" si="1">J2+K2+L2</f>
        <v>14596.583086060606</v>
      </c>
      <c r="N2" s="9">
        <f t="shared" ref="N2:N38" si="2">IF(H2&gt;0,M2/H2,"N/A")</f>
        <v>34.753769252525252</v>
      </c>
      <c r="O2" s="10">
        <v>20</v>
      </c>
      <c r="P2" s="3"/>
      <c r="Q2" s="3"/>
      <c r="R2" s="3"/>
      <c r="S2" s="8">
        <f t="shared" ref="S2:S38" si="3">IF(N2="N/A",0,(O2+P2+Q2+R2)*N2)</f>
        <v>695.07538505050502</v>
      </c>
      <c r="T2" s="7">
        <f t="shared" ref="T2:T38" si="4">IF(I2=0,H2-O2-P2-Q2-R2,I2-O2-P2-Q2-R2)</f>
        <v>0</v>
      </c>
      <c r="U2" s="3">
        <v>0</v>
      </c>
      <c r="V2" s="8">
        <f t="shared" ref="V2:V38" si="5">IF(N2="N/A",0,((T2-U2)*N2)-W2)</f>
        <v>0</v>
      </c>
      <c r="W2" s="8"/>
      <c r="X2" s="11">
        <f>IF(N2="N/A",0,U2*N2)</f>
        <v>0</v>
      </c>
    </row>
    <row r="3" spans="1:24" ht="15.5" x14ac:dyDescent="0.35">
      <c r="A3" s="1">
        <v>1055</v>
      </c>
      <c r="B3" s="2" t="s">
        <v>23</v>
      </c>
      <c r="C3" s="3" t="s">
        <v>56</v>
      </c>
      <c r="D3" s="18" t="str">
        <f t="shared" si="0"/>
        <v>abr</v>
      </c>
      <c r="E3" s="5">
        <v>45757</v>
      </c>
      <c r="F3" s="6">
        <v>45775</v>
      </c>
      <c r="G3" s="7">
        <v>6</v>
      </c>
      <c r="H3" s="7">
        <v>716</v>
      </c>
      <c r="I3" s="7">
        <v>29</v>
      </c>
      <c r="J3" s="8">
        <v>20223.36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10283.217964426876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3128.1480419580416</v>
      </c>
      <c r="M3" s="8">
        <f t="shared" si="1"/>
        <v>33634.726006384917</v>
      </c>
      <c r="N3" s="9">
        <f t="shared" si="2"/>
        <v>46.975874310593461</v>
      </c>
      <c r="O3" s="10"/>
      <c r="P3" s="3"/>
      <c r="Q3" s="3">
        <v>30</v>
      </c>
      <c r="R3" s="3"/>
      <c r="S3" s="8">
        <f t="shared" si="3"/>
        <v>1409.2762293178039</v>
      </c>
      <c r="T3" s="7">
        <f t="shared" si="4"/>
        <v>-1</v>
      </c>
      <c r="U3" s="3">
        <v>0</v>
      </c>
      <c r="V3" s="8">
        <f t="shared" si="5"/>
        <v>-46.975874310593461</v>
      </c>
      <c r="W3" s="8"/>
      <c r="X3" s="11">
        <f>IF(N3="N/A",0,U3*N3)</f>
        <v>0</v>
      </c>
    </row>
    <row r="4" spans="1:24" ht="15.5" x14ac:dyDescent="0.35">
      <c r="A4" s="1">
        <v>1056</v>
      </c>
      <c r="B4" s="2" t="s">
        <v>23</v>
      </c>
      <c r="C4" s="3" t="s">
        <v>52</v>
      </c>
      <c r="D4" s="18" t="str">
        <f t="shared" si="0"/>
        <v>abr</v>
      </c>
      <c r="E4" s="5">
        <v>45758</v>
      </c>
      <c r="F4" s="6">
        <v>45789</v>
      </c>
      <c r="G4" s="7">
        <v>4</v>
      </c>
      <c r="H4" s="7">
        <v>410</v>
      </c>
      <c r="I4" s="7">
        <v>230</v>
      </c>
      <c r="J4" s="8">
        <v>6993.82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6855.4786429512515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2085.4320279720278</v>
      </c>
      <c r="M4" s="8">
        <f t="shared" si="1"/>
        <v>15934.73067092328</v>
      </c>
      <c r="N4" s="9">
        <f t="shared" si="2"/>
        <v>38.865196758349462</v>
      </c>
      <c r="O4" s="10">
        <v>128</v>
      </c>
      <c r="P4" s="3">
        <v>50</v>
      </c>
      <c r="Q4" s="3">
        <v>20</v>
      </c>
      <c r="R4" s="3">
        <v>30</v>
      </c>
      <c r="S4" s="8">
        <f t="shared" si="3"/>
        <v>8861.2648609036769</v>
      </c>
      <c r="T4" s="7">
        <f t="shared" si="4"/>
        <v>2</v>
      </c>
      <c r="U4" s="3">
        <v>0</v>
      </c>
      <c r="V4" s="8">
        <f t="shared" si="5"/>
        <v>77.730393516698925</v>
      </c>
      <c r="W4" s="8"/>
      <c r="X4" s="11">
        <f t="shared" ref="X2:X38" si="6">IF(N4="N/A",0,U4*N4)</f>
        <v>0</v>
      </c>
    </row>
    <row r="5" spans="1:24" ht="15.5" x14ac:dyDescent="0.35">
      <c r="A5" s="1">
        <v>1057</v>
      </c>
      <c r="B5" s="2" t="s">
        <v>23</v>
      </c>
      <c r="C5" s="3" t="s">
        <v>35</v>
      </c>
      <c r="D5" s="18" t="str">
        <f t="shared" si="0"/>
        <v>abr</v>
      </c>
      <c r="E5" s="5">
        <v>45762</v>
      </c>
      <c r="F5" s="6">
        <v>45777</v>
      </c>
      <c r="G5" s="7">
        <v>3</v>
      </c>
      <c r="H5" s="7">
        <v>379</v>
      </c>
      <c r="I5" s="7">
        <v>10</v>
      </c>
      <c r="J5" s="8">
        <v>5940.7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5141.6089822134381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1564.0740209790208</v>
      </c>
      <c r="M5" s="8">
        <f t="shared" si="1"/>
        <v>12646.383003192459</v>
      </c>
      <c r="N5" s="9">
        <f t="shared" si="2"/>
        <v>33.367765179927332</v>
      </c>
      <c r="O5" s="10">
        <v>10</v>
      </c>
      <c r="P5" s="3"/>
      <c r="Q5" s="3"/>
      <c r="R5" s="3"/>
      <c r="S5" s="8">
        <f t="shared" si="3"/>
        <v>333.67765179927335</v>
      </c>
      <c r="T5" s="7">
        <f t="shared" si="4"/>
        <v>0</v>
      </c>
      <c r="U5" s="3">
        <v>0</v>
      </c>
      <c r="V5" s="8">
        <f t="shared" si="5"/>
        <v>0</v>
      </c>
      <c r="W5" s="8"/>
      <c r="X5" s="11">
        <f t="shared" si="6"/>
        <v>0</v>
      </c>
    </row>
    <row r="6" spans="1:24" ht="15.5" x14ac:dyDescent="0.35">
      <c r="A6" s="1" t="s">
        <v>96</v>
      </c>
      <c r="B6" s="2" t="s">
        <v>29</v>
      </c>
      <c r="C6" s="3" t="s">
        <v>47</v>
      </c>
      <c r="D6" s="18" t="str">
        <f t="shared" si="0"/>
        <v>abr</v>
      </c>
      <c r="E6" s="5">
        <v>45764</v>
      </c>
      <c r="F6" s="6">
        <v>45780</v>
      </c>
      <c r="G6" s="7">
        <v>20</v>
      </c>
      <c r="H6" s="7">
        <v>2454</v>
      </c>
      <c r="I6" s="7">
        <v>789</v>
      </c>
      <c r="J6" s="8">
        <v>30918.53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20316.046910408433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15889.935909090909</v>
      </c>
      <c r="M6" s="8">
        <f t="shared" si="1"/>
        <v>67124.512819499345</v>
      </c>
      <c r="N6" s="9">
        <f t="shared" si="2"/>
        <v>27.35310220843494</v>
      </c>
      <c r="O6" s="10">
        <v>527</v>
      </c>
      <c r="P6" s="3">
        <v>180</v>
      </c>
      <c r="Q6" s="3"/>
      <c r="R6" s="3">
        <v>80</v>
      </c>
      <c r="S6" s="8">
        <f t="shared" si="3"/>
        <v>21526.891438038299</v>
      </c>
      <c r="T6" s="7">
        <f t="shared" si="4"/>
        <v>2</v>
      </c>
      <c r="U6" s="3">
        <v>0</v>
      </c>
      <c r="V6" s="8">
        <f t="shared" si="5"/>
        <v>54.70620441686988</v>
      </c>
      <c r="W6" s="8"/>
      <c r="X6" s="11">
        <f t="shared" si="6"/>
        <v>0</v>
      </c>
    </row>
    <row r="7" spans="1:24" ht="15.5" x14ac:dyDescent="0.35">
      <c r="A7" s="1">
        <v>1058</v>
      </c>
      <c r="B7" s="2" t="s">
        <v>23</v>
      </c>
      <c r="C7" s="3" t="s">
        <v>97</v>
      </c>
      <c r="D7" s="18" t="str">
        <f t="shared" si="0"/>
        <v>abr</v>
      </c>
      <c r="E7" s="5">
        <v>45765</v>
      </c>
      <c r="F7" s="6">
        <v>45782</v>
      </c>
      <c r="G7" s="7">
        <v>3</v>
      </c>
      <c r="H7" s="7">
        <v>390</v>
      </c>
      <c r="I7" s="7">
        <v>30</v>
      </c>
      <c r="J7" s="8">
        <v>19497.36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5141.6089822134381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1564.0740209790208</v>
      </c>
      <c r="M7" s="8">
        <f t="shared" si="1"/>
        <v>26203.043003192459</v>
      </c>
      <c r="N7" s="9">
        <f t="shared" si="2"/>
        <v>67.187289751775538</v>
      </c>
      <c r="O7" s="10"/>
      <c r="P7" s="3">
        <v>30</v>
      </c>
      <c r="Q7" s="3"/>
      <c r="R7" s="3"/>
      <c r="S7" s="8">
        <f t="shared" si="3"/>
        <v>2015.6186925532661</v>
      </c>
      <c r="T7" s="7">
        <f t="shared" si="4"/>
        <v>0</v>
      </c>
      <c r="U7" s="3">
        <v>0</v>
      </c>
      <c r="V7" s="8">
        <f t="shared" si="5"/>
        <v>0</v>
      </c>
      <c r="W7" s="8"/>
      <c r="X7" s="11">
        <f t="shared" si="6"/>
        <v>0</v>
      </c>
    </row>
    <row r="8" spans="1:24" ht="15.5" x14ac:dyDescent="0.35">
      <c r="A8" s="1" t="s">
        <v>98</v>
      </c>
      <c r="B8" s="2" t="s">
        <v>29</v>
      </c>
      <c r="C8" s="3" t="s">
        <v>34</v>
      </c>
      <c r="D8" s="18" t="str">
        <f t="shared" si="0"/>
        <v>abr</v>
      </c>
      <c r="E8" s="5">
        <v>45776</v>
      </c>
      <c r="F8" s="6">
        <v>45787</v>
      </c>
      <c r="G8" s="7">
        <v>40</v>
      </c>
      <c r="H8" s="7">
        <v>4646</v>
      </c>
      <c r="I8" s="7">
        <v>1386</v>
      </c>
      <c r="J8" s="8">
        <v>92650.95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40632.093820816866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31779.871818181819</v>
      </c>
      <c r="M8" s="8">
        <f t="shared" si="1"/>
        <v>165062.91563899867</v>
      </c>
      <c r="N8" s="9">
        <f t="shared" si="2"/>
        <v>35.527962901205051</v>
      </c>
      <c r="O8" s="10">
        <v>725</v>
      </c>
      <c r="P8" s="3">
        <v>360</v>
      </c>
      <c r="Q8" s="3">
        <v>150</v>
      </c>
      <c r="R8" s="3">
        <v>150</v>
      </c>
      <c r="S8" s="8">
        <f t="shared" si="3"/>
        <v>49206.228618168992</v>
      </c>
      <c r="T8" s="7">
        <f t="shared" si="4"/>
        <v>1</v>
      </c>
      <c r="U8" s="3">
        <v>0</v>
      </c>
      <c r="V8" s="8">
        <f t="shared" si="5"/>
        <v>35.527962901205051</v>
      </c>
      <c r="W8" s="8"/>
      <c r="X8" s="11">
        <f t="shared" si="6"/>
        <v>0</v>
      </c>
    </row>
    <row r="9" spans="1:24" ht="15.5" x14ac:dyDescent="0.35">
      <c r="A9" s="1">
        <v>1061</v>
      </c>
      <c r="B9" s="2" t="s">
        <v>23</v>
      </c>
      <c r="C9" s="3" t="s">
        <v>59</v>
      </c>
      <c r="D9" s="18" t="str">
        <f t="shared" si="0"/>
        <v>abr</v>
      </c>
      <c r="E9" s="5">
        <v>45777</v>
      </c>
      <c r="F9" s="6">
        <v>45810</v>
      </c>
      <c r="G9" s="7">
        <v>8</v>
      </c>
      <c r="H9" s="7">
        <v>900</v>
      </c>
      <c r="I9" s="7">
        <v>900</v>
      </c>
      <c r="J9" s="8">
        <v>13422.15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13710.957285902503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4170.8640559440555</v>
      </c>
      <c r="M9" s="8">
        <f t="shared" si="1"/>
        <v>31303.971341846554</v>
      </c>
      <c r="N9" s="9">
        <f t="shared" si="2"/>
        <v>34.782190379829508</v>
      </c>
      <c r="O9" s="10">
        <v>673</v>
      </c>
      <c r="P9" s="3">
        <v>120</v>
      </c>
      <c r="Q9" s="3">
        <v>50</v>
      </c>
      <c r="R9" s="3">
        <v>60</v>
      </c>
      <c r="S9" s="8">
        <f t="shared" si="3"/>
        <v>31408.317912986047</v>
      </c>
      <c r="T9" s="7">
        <f t="shared" si="4"/>
        <v>-3</v>
      </c>
      <c r="U9" s="3">
        <v>0</v>
      </c>
      <c r="V9" s="8">
        <f t="shared" si="5"/>
        <v>-104.34657113948853</v>
      </c>
      <c r="W9" s="8"/>
      <c r="X9" s="11">
        <f t="shared" si="6"/>
        <v>0</v>
      </c>
    </row>
    <row r="10" spans="1:24" ht="15.5" x14ac:dyDescent="0.35">
      <c r="A10" s="1" t="s">
        <v>105</v>
      </c>
      <c r="B10" s="2" t="s">
        <v>29</v>
      </c>
      <c r="C10" s="3" t="s">
        <v>41</v>
      </c>
      <c r="D10" s="18" t="str">
        <f t="shared" si="0"/>
        <v>may</v>
      </c>
      <c r="E10" s="5">
        <v>45779</v>
      </c>
      <c r="F10" s="6">
        <v>45790</v>
      </c>
      <c r="G10" s="7">
        <v>20</v>
      </c>
      <c r="H10" s="7">
        <v>2340</v>
      </c>
      <c r="I10" s="7">
        <v>958</v>
      </c>
      <c r="J10" s="8">
        <v>35305.94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19408.748553598201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13433.883931034485</v>
      </c>
      <c r="M10" s="8">
        <f t="shared" si="1"/>
        <v>68148.572484632692</v>
      </c>
      <c r="N10" s="9">
        <f t="shared" si="2"/>
        <v>29.123321574629355</v>
      </c>
      <c r="O10" s="10">
        <v>558</v>
      </c>
      <c r="P10" s="3">
        <v>360</v>
      </c>
      <c r="Q10" s="3"/>
      <c r="R10" s="3">
        <v>40</v>
      </c>
      <c r="S10" s="8">
        <f t="shared" si="3"/>
        <v>27900.142068494923</v>
      </c>
      <c r="T10" s="7">
        <f t="shared" si="4"/>
        <v>0</v>
      </c>
      <c r="U10" s="3">
        <v>0</v>
      </c>
      <c r="V10" s="8">
        <f t="shared" si="5"/>
        <v>0</v>
      </c>
      <c r="W10" s="8"/>
      <c r="X10" s="11">
        <f t="shared" si="6"/>
        <v>0</v>
      </c>
    </row>
    <row r="11" spans="1:24" ht="15.5" x14ac:dyDescent="0.35">
      <c r="A11" s="1">
        <v>1062</v>
      </c>
      <c r="B11" s="2" t="s">
        <v>23</v>
      </c>
      <c r="C11" s="3" t="s">
        <v>106</v>
      </c>
      <c r="D11" s="18" t="str">
        <f t="shared" si="0"/>
        <v>may</v>
      </c>
      <c r="E11" s="5">
        <v>45780</v>
      </c>
      <c r="F11" s="6">
        <v>45798</v>
      </c>
      <c r="G11" s="7">
        <v>3</v>
      </c>
      <c r="H11" s="7">
        <v>378</v>
      </c>
      <c r="I11" s="7">
        <v>141</v>
      </c>
      <c r="J11" s="17">
        <v>9791.4699999999993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5037.6485134672666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1815.7580229885057</v>
      </c>
      <c r="M11" s="8">
        <f t="shared" si="1"/>
        <v>16644.876536455773</v>
      </c>
      <c r="N11" s="9">
        <f t="shared" si="2"/>
        <v>44.03406491125866</v>
      </c>
      <c r="O11" s="10">
        <v>58</v>
      </c>
      <c r="P11" s="3">
        <v>78</v>
      </c>
      <c r="Q11" s="3"/>
      <c r="R11" s="3"/>
      <c r="S11" s="8">
        <f t="shared" si="3"/>
        <v>5988.6328279311774</v>
      </c>
      <c r="T11" s="7">
        <f t="shared" si="4"/>
        <v>5</v>
      </c>
      <c r="U11" s="3">
        <v>0</v>
      </c>
      <c r="V11" s="8">
        <f t="shared" si="5"/>
        <v>220.17032455629331</v>
      </c>
      <c r="W11" s="8"/>
      <c r="X11" s="11">
        <f t="shared" si="6"/>
        <v>0</v>
      </c>
    </row>
    <row r="12" spans="1:24" ht="15.5" x14ac:dyDescent="0.35">
      <c r="A12" s="1">
        <v>1063</v>
      </c>
      <c r="B12" s="2" t="s">
        <v>23</v>
      </c>
      <c r="C12" s="3" t="s">
        <v>35</v>
      </c>
      <c r="D12" s="18" t="str">
        <f t="shared" si="0"/>
        <v>may</v>
      </c>
      <c r="E12" s="5">
        <v>45783</v>
      </c>
      <c r="F12" s="6">
        <v>45796</v>
      </c>
      <c r="G12" s="7">
        <v>4</v>
      </c>
      <c r="H12" s="7">
        <v>452</v>
      </c>
      <c r="I12" s="7">
        <v>97</v>
      </c>
      <c r="J12" s="8">
        <v>6945.06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6716.8646846230222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2421.0106973180077</v>
      </c>
      <c r="M12" s="8">
        <f t="shared" si="1"/>
        <v>16082.935381941032</v>
      </c>
      <c r="N12" s="9">
        <f t="shared" si="2"/>
        <v>35.581715446772193</v>
      </c>
      <c r="O12" s="10">
        <v>18</v>
      </c>
      <c r="P12" s="3">
        <v>53</v>
      </c>
      <c r="Q12" s="3"/>
      <c r="R12" s="3">
        <v>40</v>
      </c>
      <c r="S12" s="8">
        <f t="shared" si="3"/>
        <v>3949.5704145917134</v>
      </c>
      <c r="T12" s="7">
        <f t="shared" si="4"/>
        <v>-14</v>
      </c>
      <c r="U12" s="3">
        <v>0</v>
      </c>
      <c r="V12" s="8">
        <f t="shared" si="5"/>
        <v>-498.14401625481071</v>
      </c>
      <c r="W12" s="8"/>
      <c r="X12" s="11">
        <f t="shared" si="6"/>
        <v>0</v>
      </c>
    </row>
    <row r="13" spans="1:24" ht="15.5" x14ac:dyDescent="0.35">
      <c r="A13" s="1">
        <v>1064</v>
      </c>
      <c r="B13" s="2" t="s">
        <v>23</v>
      </c>
      <c r="C13" s="3" t="s">
        <v>79</v>
      </c>
      <c r="D13" s="18" t="str">
        <f t="shared" si="0"/>
        <v>may</v>
      </c>
      <c r="E13" s="5">
        <v>45784</v>
      </c>
      <c r="F13" s="6">
        <v>45806</v>
      </c>
      <c r="G13" s="7">
        <v>3</v>
      </c>
      <c r="H13" s="7">
        <v>360</v>
      </c>
      <c r="I13" s="7">
        <v>240</v>
      </c>
      <c r="J13" s="8">
        <v>9946.77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5037.6485134672666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1815.7580229885057</v>
      </c>
      <c r="M13" s="8">
        <f t="shared" si="1"/>
        <v>16800.176536455772</v>
      </c>
      <c r="N13" s="9">
        <f t="shared" si="2"/>
        <v>46.667157045710482</v>
      </c>
      <c r="O13" s="10">
        <v>148</v>
      </c>
      <c r="P13" s="3">
        <v>60</v>
      </c>
      <c r="Q13" s="3">
        <v>30</v>
      </c>
      <c r="R13" s="3"/>
      <c r="S13" s="8">
        <f t="shared" si="3"/>
        <v>11106.783376879095</v>
      </c>
      <c r="T13" s="7">
        <f t="shared" si="4"/>
        <v>2</v>
      </c>
      <c r="U13" s="3">
        <v>0</v>
      </c>
      <c r="V13" s="8">
        <f t="shared" si="5"/>
        <v>93.334314091420964</v>
      </c>
      <c r="W13" s="8"/>
      <c r="X13" s="11">
        <f t="shared" si="6"/>
        <v>0</v>
      </c>
    </row>
    <row r="14" spans="1:24" ht="15.5" x14ac:dyDescent="0.35">
      <c r="A14" s="1" t="s">
        <v>107</v>
      </c>
      <c r="B14" s="2" t="s">
        <v>29</v>
      </c>
      <c r="C14" s="3" t="s">
        <v>39</v>
      </c>
      <c r="D14" s="18" t="str">
        <f t="shared" si="0"/>
        <v>may</v>
      </c>
      <c r="E14" s="5">
        <v>45785</v>
      </c>
      <c r="F14" s="6">
        <v>45797</v>
      </c>
      <c r="G14" s="7">
        <v>20</v>
      </c>
      <c r="H14" s="7">
        <v>2600</v>
      </c>
      <c r="I14" s="7">
        <v>1280</v>
      </c>
      <c r="J14" s="8">
        <v>19339.72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19408.748553598201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13433.883931034485</v>
      </c>
      <c r="M14" s="8">
        <f t="shared" si="1"/>
        <v>52182.352484632684</v>
      </c>
      <c r="N14" s="9">
        <f t="shared" si="2"/>
        <v>20.070135571012571</v>
      </c>
      <c r="O14" s="10">
        <v>921</v>
      </c>
      <c r="P14" s="3">
        <v>120</v>
      </c>
      <c r="Q14" s="3"/>
      <c r="R14" s="3">
        <v>250</v>
      </c>
      <c r="S14" s="8">
        <f t="shared" si="3"/>
        <v>25910.54502217723</v>
      </c>
      <c r="T14" s="7">
        <f t="shared" si="4"/>
        <v>-11</v>
      </c>
      <c r="U14" s="3">
        <v>0</v>
      </c>
      <c r="V14" s="8">
        <f t="shared" si="5"/>
        <v>-220.77149128113828</v>
      </c>
      <c r="W14" s="8"/>
      <c r="X14" s="11">
        <f t="shared" si="6"/>
        <v>0</v>
      </c>
    </row>
    <row r="15" spans="1:24" ht="15.5" x14ac:dyDescent="0.35">
      <c r="A15" s="1">
        <v>1065</v>
      </c>
      <c r="B15" s="2" t="s">
        <v>23</v>
      </c>
      <c r="C15" s="3" t="s">
        <v>108</v>
      </c>
      <c r="D15" s="18" t="str">
        <f t="shared" si="0"/>
        <v>may</v>
      </c>
      <c r="E15" s="5">
        <v>45786</v>
      </c>
      <c r="F15" s="6">
        <v>45803</v>
      </c>
      <c r="G15" s="7">
        <v>6</v>
      </c>
      <c r="H15" s="7">
        <v>623</v>
      </c>
      <c r="I15" s="7">
        <v>563</v>
      </c>
      <c r="J15" s="8">
        <v>19500.78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10075.297026934533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3631.5160459770113</v>
      </c>
      <c r="M15" s="8">
        <f t="shared" si="1"/>
        <v>33207.593072911543</v>
      </c>
      <c r="N15" s="9">
        <f t="shared" si="2"/>
        <v>53.302717613020135</v>
      </c>
      <c r="O15" s="10">
        <v>287</v>
      </c>
      <c r="P15" s="3">
        <v>203</v>
      </c>
      <c r="Q15" s="3"/>
      <c r="R15" s="3">
        <v>70</v>
      </c>
      <c r="S15" s="8">
        <f t="shared" si="3"/>
        <v>29849.521863291277</v>
      </c>
      <c r="T15" s="7">
        <f t="shared" si="4"/>
        <v>3</v>
      </c>
      <c r="U15" s="3">
        <v>0</v>
      </c>
      <c r="V15" s="8">
        <f t="shared" si="5"/>
        <v>159.90815283906039</v>
      </c>
      <c r="W15" s="8"/>
      <c r="X15" s="11">
        <f t="shared" si="6"/>
        <v>0</v>
      </c>
    </row>
    <row r="16" spans="1:24" ht="15.5" x14ac:dyDescent="0.35">
      <c r="A16" s="1">
        <v>1066</v>
      </c>
      <c r="B16" s="2" t="s">
        <v>23</v>
      </c>
      <c r="C16" s="3" t="s">
        <v>39</v>
      </c>
      <c r="D16" s="18" t="str">
        <f t="shared" si="0"/>
        <v>may</v>
      </c>
      <c r="E16" s="5">
        <v>45790</v>
      </c>
      <c r="F16" s="6">
        <v>45801</v>
      </c>
      <c r="G16" s="7">
        <v>4</v>
      </c>
      <c r="H16" s="7">
        <v>466</v>
      </c>
      <c r="I16" s="7">
        <v>466</v>
      </c>
      <c r="J16" s="8">
        <v>4658.26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6716.8646846230222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2421.0106973180077</v>
      </c>
      <c r="M16" s="8">
        <f t="shared" si="1"/>
        <v>13796.135381941031</v>
      </c>
      <c r="N16" s="9">
        <f t="shared" si="2"/>
        <v>29.605440733779037</v>
      </c>
      <c r="O16" s="10">
        <v>158</v>
      </c>
      <c r="P16" s="3">
        <v>240</v>
      </c>
      <c r="Q16" s="3"/>
      <c r="R16" s="3">
        <v>80</v>
      </c>
      <c r="S16" s="8">
        <f t="shared" si="3"/>
        <v>14151.40067074638</v>
      </c>
      <c r="T16" s="7">
        <f t="shared" si="4"/>
        <v>-12</v>
      </c>
      <c r="U16" s="3">
        <v>0</v>
      </c>
      <c r="V16" s="8">
        <f t="shared" si="5"/>
        <v>-355.26528880534846</v>
      </c>
      <c r="W16" s="8"/>
      <c r="X16" s="11">
        <f t="shared" si="6"/>
        <v>0</v>
      </c>
    </row>
    <row r="17" spans="1:24" ht="15.5" x14ac:dyDescent="0.35">
      <c r="A17" s="1">
        <v>1067</v>
      </c>
      <c r="B17" s="2" t="s">
        <v>23</v>
      </c>
      <c r="C17" s="3" t="s">
        <v>56</v>
      </c>
      <c r="D17" s="18" t="str">
        <f t="shared" si="0"/>
        <v>may</v>
      </c>
      <c r="E17" s="5">
        <v>45791</v>
      </c>
      <c r="F17" s="6">
        <v>45812</v>
      </c>
      <c r="G17" s="7">
        <v>3</v>
      </c>
      <c r="H17" s="7">
        <v>333</v>
      </c>
      <c r="I17" s="7">
        <v>333</v>
      </c>
      <c r="J17" s="17">
        <v>10071.25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5037.6485134672666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1815.7580229885057</v>
      </c>
      <c r="M17" s="8">
        <f t="shared" si="1"/>
        <v>16924.656536455772</v>
      </c>
      <c r="N17" s="9">
        <f t="shared" si="2"/>
        <v>50.824794403771087</v>
      </c>
      <c r="O17" s="10">
        <v>177</v>
      </c>
      <c r="P17" s="3">
        <v>33</v>
      </c>
      <c r="Q17" s="3"/>
      <c r="R17" s="3">
        <v>120</v>
      </c>
      <c r="S17" s="8">
        <f t="shared" si="3"/>
        <v>16772.182153244459</v>
      </c>
      <c r="T17" s="7">
        <f t="shared" si="4"/>
        <v>3</v>
      </c>
      <c r="U17" s="3">
        <v>0</v>
      </c>
      <c r="V17" s="8">
        <f t="shared" si="5"/>
        <v>152.47438321131327</v>
      </c>
      <c r="W17" s="8"/>
      <c r="X17" s="11">
        <f t="shared" si="6"/>
        <v>0</v>
      </c>
    </row>
    <row r="18" spans="1:24" ht="15.5" x14ac:dyDescent="0.35">
      <c r="A18" s="1" t="s">
        <v>109</v>
      </c>
      <c r="B18" s="2" t="s">
        <v>29</v>
      </c>
      <c r="C18" s="3" t="s">
        <v>47</v>
      </c>
      <c r="D18" s="18" t="str">
        <f t="shared" si="0"/>
        <v>may</v>
      </c>
      <c r="E18" s="5">
        <v>45797</v>
      </c>
      <c r="F18" s="6">
        <v>45817</v>
      </c>
      <c r="G18" s="7">
        <v>20</v>
      </c>
      <c r="H18" s="7">
        <v>2486</v>
      </c>
      <c r="I18" s="7">
        <v>2486</v>
      </c>
      <c r="J18" s="8">
        <v>25584.32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19408.748553598201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13433.883931034485</v>
      </c>
      <c r="M18" s="8">
        <f t="shared" si="1"/>
        <v>58426.952484632689</v>
      </c>
      <c r="N18" s="9">
        <f t="shared" si="2"/>
        <v>23.502394402507115</v>
      </c>
      <c r="O18" s="10">
        <v>758</v>
      </c>
      <c r="P18" s="3">
        <v>240</v>
      </c>
      <c r="Q18" s="3"/>
      <c r="R18" s="3">
        <v>240</v>
      </c>
      <c r="S18" s="8">
        <f t="shared" si="3"/>
        <v>29095.964270303808</v>
      </c>
      <c r="T18" s="7">
        <f t="shared" si="4"/>
        <v>1248</v>
      </c>
      <c r="U18" s="3">
        <v>1248</v>
      </c>
      <c r="V18" s="8">
        <f t="shared" si="5"/>
        <v>0</v>
      </c>
      <c r="W18" s="8"/>
      <c r="X18" s="11">
        <f t="shared" si="6"/>
        <v>29330.988214328878</v>
      </c>
    </row>
    <row r="19" spans="1:24" ht="15.5" x14ac:dyDescent="0.35">
      <c r="A19" s="1">
        <v>1068</v>
      </c>
      <c r="B19" s="2" t="s">
        <v>23</v>
      </c>
      <c r="C19" s="3" t="s">
        <v>42</v>
      </c>
      <c r="D19" s="18" t="str">
        <f t="shared" si="0"/>
        <v>may</v>
      </c>
      <c r="E19" s="5">
        <v>45798</v>
      </c>
      <c r="F19" s="6">
        <v>45825</v>
      </c>
      <c r="G19" s="7">
        <v>4</v>
      </c>
      <c r="H19" s="7">
        <v>450</v>
      </c>
      <c r="I19" s="7">
        <v>450</v>
      </c>
      <c r="J19" s="8">
        <v>7136.27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6716.8646846230222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2421.0106973180077</v>
      </c>
      <c r="M19" s="8">
        <f t="shared" si="1"/>
        <v>16274.145381941031</v>
      </c>
      <c r="N19" s="9">
        <f t="shared" si="2"/>
        <v>36.164767515424515</v>
      </c>
      <c r="O19" s="10">
        <v>180</v>
      </c>
      <c r="P19" s="3">
        <v>90</v>
      </c>
      <c r="Q19" s="3"/>
      <c r="R19" s="3"/>
      <c r="S19" s="8">
        <f t="shared" si="3"/>
        <v>9764.4872291646188</v>
      </c>
      <c r="T19" s="7">
        <f t="shared" si="4"/>
        <v>180</v>
      </c>
      <c r="U19" s="3">
        <v>180</v>
      </c>
      <c r="V19" s="8">
        <f t="shared" si="5"/>
        <v>0</v>
      </c>
      <c r="W19" s="8"/>
      <c r="X19" s="11">
        <f t="shared" si="6"/>
        <v>6509.6581527764129</v>
      </c>
    </row>
    <row r="20" spans="1:24" ht="15.5" x14ac:dyDescent="0.35">
      <c r="A20" s="1">
        <v>1069</v>
      </c>
      <c r="B20" s="2" t="s">
        <v>23</v>
      </c>
      <c r="C20" s="3" t="s">
        <v>32</v>
      </c>
      <c r="D20" s="18" t="str">
        <f t="shared" si="0"/>
        <v>may</v>
      </c>
      <c r="E20" s="5">
        <v>45799</v>
      </c>
      <c r="F20" s="6">
        <v>45824</v>
      </c>
      <c r="G20" s="7">
        <v>3</v>
      </c>
      <c r="H20" s="7">
        <v>300</v>
      </c>
      <c r="I20" s="7">
        <v>300</v>
      </c>
      <c r="J20" s="8">
        <v>11369.49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5037.6485134672666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1815.7580229885057</v>
      </c>
      <c r="M20" s="8">
        <f t="shared" si="1"/>
        <v>18222.896536455773</v>
      </c>
      <c r="N20" s="9">
        <f t="shared" si="2"/>
        <v>60.742988454852579</v>
      </c>
      <c r="O20" s="10">
        <v>120</v>
      </c>
      <c r="P20" s="3">
        <v>60</v>
      </c>
      <c r="Q20" s="3"/>
      <c r="R20" s="3"/>
      <c r="S20" s="8">
        <f t="shared" si="3"/>
        <v>10933.737921873464</v>
      </c>
      <c r="T20" s="7">
        <f t="shared" si="4"/>
        <v>120</v>
      </c>
      <c r="U20" s="3">
        <v>120</v>
      </c>
      <c r="V20" s="8">
        <f t="shared" si="5"/>
        <v>0</v>
      </c>
      <c r="W20" s="8"/>
      <c r="X20" s="11">
        <f t="shared" si="6"/>
        <v>7289.1586145823094</v>
      </c>
    </row>
    <row r="21" spans="1:24" ht="15.5" x14ac:dyDescent="0.35">
      <c r="A21" s="1">
        <v>1070</v>
      </c>
      <c r="B21" s="2" t="s">
        <v>23</v>
      </c>
      <c r="C21" s="3" t="s">
        <v>24</v>
      </c>
      <c r="D21" s="18" t="str">
        <f t="shared" si="0"/>
        <v>may</v>
      </c>
      <c r="E21" s="5">
        <v>45805</v>
      </c>
      <c r="F21" s="6">
        <v>45817</v>
      </c>
      <c r="G21" s="7">
        <v>8</v>
      </c>
      <c r="H21" s="7">
        <v>868</v>
      </c>
      <c r="I21" s="7">
        <v>868</v>
      </c>
      <c r="J21" s="17">
        <v>20968.189999999999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13433.729369246044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4842.0213946360154</v>
      </c>
      <c r="M21" s="8">
        <f t="shared" si="1"/>
        <v>39243.940763882056</v>
      </c>
      <c r="N21" s="9">
        <f t="shared" si="2"/>
        <v>45.211913322444765</v>
      </c>
      <c r="O21" s="10">
        <v>660</v>
      </c>
      <c r="P21" s="3">
        <v>98</v>
      </c>
      <c r="Q21" s="3">
        <v>50</v>
      </c>
      <c r="R21" s="3"/>
      <c r="S21" s="8">
        <f t="shared" si="3"/>
        <v>36531.22596453537</v>
      </c>
      <c r="T21" s="7">
        <f t="shared" si="4"/>
        <v>60</v>
      </c>
      <c r="U21" s="3">
        <v>60</v>
      </c>
      <c r="V21" s="8">
        <f t="shared" si="5"/>
        <v>0</v>
      </c>
      <c r="W21" s="8"/>
      <c r="X21" s="11">
        <f t="shared" si="6"/>
        <v>2712.714799346686</v>
      </c>
    </row>
    <row r="22" spans="1:24" ht="15.5" x14ac:dyDescent="0.35">
      <c r="A22" s="1" t="s">
        <v>110</v>
      </c>
      <c r="B22" s="2" t="s">
        <v>29</v>
      </c>
      <c r="C22" s="3" t="s">
        <v>34</v>
      </c>
      <c r="D22" s="18" t="str">
        <f t="shared" si="0"/>
        <v>may</v>
      </c>
      <c r="E22" s="5">
        <v>45806</v>
      </c>
      <c r="F22" s="6">
        <v>45821</v>
      </c>
      <c r="G22" s="7">
        <v>40</v>
      </c>
      <c r="H22" s="7">
        <v>4742</v>
      </c>
      <c r="I22" s="7">
        <v>4742</v>
      </c>
      <c r="J22" s="8">
        <v>82277.570000000007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38817.497107196403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26867.767862068969</v>
      </c>
      <c r="M22" s="8">
        <f t="shared" si="1"/>
        <v>147962.83496926539</v>
      </c>
      <c r="N22" s="9">
        <f t="shared" si="2"/>
        <v>31.202622304779709</v>
      </c>
      <c r="O22" s="10">
        <v>1663</v>
      </c>
      <c r="P22" s="3">
        <v>790</v>
      </c>
      <c r="Q22" s="3"/>
      <c r="R22" s="3">
        <v>770</v>
      </c>
      <c r="S22" s="8">
        <f t="shared" si="3"/>
        <v>100566.051688305</v>
      </c>
      <c r="T22" s="7">
        <f t="shared" si="4"/>
        <v>1519</v>
      </c>
      <c r="U22" s="3">
        <v>1519</v>
      </c>
      <c r="V22" s="8">
        <f t="shared" si="5"/>
        <v>0</v>
      </c>
      <c r="W22" s="8"/>
      <c r="X22" s="11">
        <f t="shared" si="6"/>
        <v>47396.783280960379</v>
      </c>
    </row>
    <row r="23" spans="1:24" ht="15.5" x14ac:dyDescent="0.35">
      <c r="A23" s="1">
        <v>1071</v>
      </c>
      <c r="B23" s="2" t="s">
        <v>23</v>
      </c>
      <c r="C23" s="3" t="s">
        <v>35</v>
      </c>
      <c r="D23" s="18" t="str">
        <f t="shared" si="0"/>
        <v>may</v>
      </c>
      <c r="E23" s="5">
        <v>45806</v>
      </c>
      <c r="F23" s="6">
        <v>45819</v>
      </c>
      <c r="G23" s="7">
        <v>4</v>
      </c>
      <c r="H23" s="7">
        <v>461</v>
      </c>
      <c r="I23" s="7">
        <v>461</v>
      </c>
      <c r="J23" s="8">
        <v>8359.19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6716.8646846230222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2421.0106973180077</v>
      </c>
      <c r="M23" s="8">
        <f t="shared" si="1"/>
        <v>17497.065381941029</v>
      </c>
      <c r="N23" s="9">
        <f t="shared" si="2"/>
        <v>37.954588681000061</v>
      </c>
      <c r="O23" s="10">
        <v>319</v>
      </c>
      <c r="P23" s="3">
        <v>60</v>
      </c>
      <c r="Q23" s="3"/>
      <c r="R23" s="3">
        <v>40</v>
      </c>
      <c r="S23" s="8">
        <f t="shared" si="3"/>
        <v>15902.972657339025</v>
      </c>
      <c r="T23" s="7">
        <f t="shared" si="4"/>
        <v>42</v>
      </c>
      <c r="U23" s="3">
        <v>0</v>
      </c>
      <c r="V23" s="8">
        <f t="shared" si="5"/>
        <v>1594.0927246020026</v>
      </c>
      <c r="W23" s="8"/>
      <c r="X23" s="11">
        <f t="shared" si="6"/>
        <v>0</v>
      </c>
    </row>
    <row r="24" spans="1:24" ht="15.5" x14ac:dyDescent="0.35">
      <c r="A24" s="1">
        <v>1072</v>
      </c>
      <c r="B24" s="2" t="s">
        <v>23</v>
      </c>
      <c r="C24" s="3" t="s">
        <v>48</v>
      </c>
      <c r="D24" s="18" t="str">
        <f t="shared" si="0"/>
        <v>may</v>
      </c>
      <c r="E24" s="5">
        <v>45807</v>
      </c>
      <c r="F24" s="6">
        <v>45840</v>
      </c>
      <c r="G24" s="7">
        <v>3</v>
      </c>
      <c r="H24" s="7">
        <v>342</v>
      </c>
      <c r="I24" s="7"/>
      <c r="J24" s="8">
        <v>7123.66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5037.6485134672666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1815.7580229885057</v>
      </c>
      <c r="M24" s="8">
        <f t="shared" si="1"/>
        <v>13977.066536455772</v>
      </c>
      <c r="N24" s="9">
        <f t="shared" si="2"/>
        <v>40.868615603671849</v>
      </c>
      <c r="O24" s="10"/>
      <c r="P24" s="3"/>
      <c r="Q24" s="3"/>
      <c r="R24" s="3"/>
      <c r="S24" s="8">
        <f t="shared" si="3"/>
        <v>0</v>
      </c>
      <c r="T24" s="7">
        <f t="shared" si="4"/>
        <v>342</v>
      </c>
      <c r="U24" s="3">
        <v>342</v>
      </c>
      <c r="V24" s="8">
        <f t="shared" si="5"/>
        <v>0</v>
      </c>
      <c r="W24" s="8"/>
      <c r="X24" s="11">
        <f t="shared" si="6"/>
        <v>13977.066536455772</v>
      </c>
    </row>
    <row r="25" spans="1:24" ht="15.5" x14ac:dyDescent="0.35">
      <c r="A25" s="1">
        <v>1073</v>
      </c>
      <c r="B25" s="2" t="s">
        <v>23</v>
      </c>
      <c r="C25" s="3" t="s">
        <v>36</v>
      </c>
      <c r="D25" s="18" t="str">
        <f t="shared" si="0"/>
        <v>jun</v>
      </c>
      <c r="E25" s="5">
        <v>45812</v>
      </c>
      <c r="F25" s="6">
        <v>45829</v>
      </c>
      <c r="G25" s="7">
        <v>8</v>
      </c>
      <c r="H25" s="7">
        <v>909</v>
      </c>
      <c r="I25" s="7"/>
      <c r="J25" s="8">
        <v>12356.31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18735.657229367534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7633.3087432867878</v>
      </c>
      <c r="M25" s="8">
        <f t="shared" si="1"/>
        <v>38725.275972654323</v>
      </c>
      <c r="N25" s="9">
        <f t="shared" si="2"/>
        <v>42.602063776297385</v>
      </c>
      <c r="O25" s="10">
        <f>180</f>
        <v>180</v>
      </c>
      <c r="P25" s="3"/>
      <c r="Q25" s="3"/>
      <c r="R25" s="3"/>
      <c r="S25" s="8">
        <f t="shared" si="3"/>
        <v>7668.3714797335297</v>
      </c>
      <c r="T25" s="7">
        <f t="shared" si="4"/>
        <v>729</v>
      </c>
      <c r="U25" s="3">
        <v>729</v>
      </c>
      <c r="V25" s="8">
        <f t="shared" si="5"/>
        <v>0</v>
      </c>
      <c r="W25" s="8"/>
      <c r="X25" s="11">
        <f t="shared" si="6"/>
        <v>31056.904492920792</v>
      </c>
    </row>
    <row r="26" spans="1:24" ht="15.5" x14ac:dyDescent="0.35">
      <c r="A26" s="1" t="s">
        <v>113</v>
      </c>
      <c r="B26" s="2" t="s">
        <v>29</v>
      </c>
      <c r="C26" s="3" t="s">
        <v>41</v>
      </c>
      <c r="D26" s="18" t="str">
        <f t="shared" si="0"/>
        <v>jun</v>
      </c>
      <c r="E26" s="5">
        <v>45812</v>
      </c>
      <c r="F26" s="6">
        <v>45824</v>
      </c>
      <c r="G26" s="7">
        <v>20</v>
      </c>
      <c r="H26" s="7">
        <v>2330</v>
      </c>
      <c r="I26" s="7"/>
      <c r="J26" s="8">
        <v>39370.9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27668.783820168068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26057.067823129251</v>
      </c>
      <c r="M26" s="8">
        <f t="shared" si="1"/>
        <v>93096.751643297321</v>
      </c>
      <c r="N26" s="9">
        <f t="shared" si="2"/>
        <v>39.955687400556791</v>
      </c>
      <c r="O26" s="10">
        <v>360</v>
      </c>
      <c r="P26" s="3"/>
      <c r="Q26" s="3">
        <v>50</v>
      </c>
      <c r="R26" s="3">
        <v>60</v>
      </c>
      <c r="S26" s="8">
        <f t="shared" si="3"/>
        <v>18779.173078261691</v>
      </c>
      <c r="T26" s="7">
        <f t="shared" si="4"/>
        <v>1860</v>
      </c>
      <c r="U26" s="3">
        <v>1860</v>
      </c>
      <c r="V26" s="8">
        <f t="shared" si="5"/>
        <v>0</v>
      </c>
      <c r="W26" s="8"/>
      <c r="X26" s="11">
        <f t="shared" si="6"/>
        <v>74317.578565035627</v>
      </c>
    </row>
    <row r="27" spans="1:24" ht="15.5" x14ac:dyDescent="0.35">
      <c r="A27" s="1">
        <v>1074</v>
      </c>
      <c r="B27" s="2" t="s">
        <v>23</v>
      </c>
      <c r="C27" s="3" t="s">
        <v>87</v>
      </c>
      <c r="D27" s="18" t="str">
        <f t="shared" si="0"/>
        <v>jun</v>
      </c>
      <c r="E27" s="5">
        <v>45813</v>
      </c>
      <c r="F27" s="6">
        <v>45831</v>
      </c>
      <c r="G27" s="7">
        <v>3</v>
      </c>
      <c r="H27" s="7">
        <v>329</v>
      </c>
      <c r="I27" s="7"/>
      <c r="J27" s="8">
        <v>6822.67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7025.8714610128254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2862.4907787325456</v>
      </c>
      <c r="M27" s="8">
        <f t="shared" si="1"/>
        <v>16711.032239745371</v>
      </c>
      <c r="N27" s="9">
        <f t="shared" si="2"/>
        <v>50.793411063055842</v>
      </c>
      <c r="O27" s="10">
        <v>60</v>
      </c>
      <c r="P27" s="3"/>
      <c r="Q27" s="3"/>
      <c r="R27" s="3">
        <v>60</v>
      </c>
      <c r="S27" s="8">
        <f t="shared" si="3"/>
        <v>6095.2093275667012</v>
      </c>
      <c r="T27" s="7">
        <f t="shared" si="4"/>
        <v>209</v>
      </c>
      <c r="U27" s="3">
        <v>209</v>
      </c>
      <c r="V27" s="8">
        <f t="shared" si="5"/>
        <v>0</v>
      </c>
      <c r="W27" s="8"/>
      <c r="X27" s="11">
        <f t="shared" si="6"/>
        <v>10615.822912178672</v>
      </c>
    </row>
    <row r="28" spans="1:24" ht="15.5" x14ac:dyDescent="0.35">
      <c r="A28" s="1">
        <v>1075</v>
      </c>
      <c r="B28" s="2" t="s">
        <v>23</v>
      </c>
      <c r="C28" s="3" t="s">
        <v>56</v>
      </c>
      <c r="D28" s="18" t="str">
        <f t="shared" si="0"/>
        <v>jun</v>
      </c>
      <c r="E28" s="5">
        <v>45819</v>
      </c>
      <c r="F28" s="6">
        <v>45836</v>
      </c>
      <c r="G28" s="7">
        <v>6</v>
      </c>
      <c r="H28" s="7">
        <v>700</v>
      </c>
      <c r="I28" s="7"/>
      <c r="J28" s="17">
        <v>19317.23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14051.742922025651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5724.9815574650911</v>
      </c>
      <c r="M28" s="8">
        <f t="shared" si="1"/>
        <v>39093.954479490742</v>
      </c>
      <c r="N28" s="9">
        <f t="shared" si="2"/>
        <v>55.848506399272487</v>
      </c>
      <c r="O28" s="10"/>
      <c r="P28" s="3"/>
      <c r="Q28" s="3"/>
      <c r="R28" s="3"/>
      <c r="S28" s="8">
        <f t="shared" si="3"/>
        <v>0</v>
      </c>
      <c r="T28" s="7">
        <f t="shared" si="4"/>
        <v>700</v>
      </c>
      <c r="U28" s="3">
        <v>700</v>
      </c>
      <c r="V28" s="8">
        <f t="shared" si="5"/>
        <v>0</v>
      </c>
      <c r="W28" s="8"/>
      <c r="X28" s="11">
        <f t="shared" si="6"/>
        <v>39093.954479490742</v>
      </c>
    </row>
    <row r="29" spans="1:24" ht="15.5" x14ac:dyDescent="0.35">
      <c r="A29" s="1" t="s">
        <v>114</v>
      </c>
      <c r="B29" s="2" t="s">
        <v>29</v>
      </c>
      <c r="C29" s="3" t="s">
        <v>39</v>
      </c>
      <c r="D29" s="18" t="str">
        <f t="shared" si="0"/>
        <v>jun</v>
      </c>
      <c r="E29" s="5">
        <v>45819</v>
      </c>
      <c r="F29" s="6">
        <v>45829</v>
      </c>
      <c r="G29" s="7">
        <v>20</v>
      </c>
      <c r="H29" s="7">
        <v>2470</v>
      </c>
      <c r="I29" s="7"/>
      <c r="J29" s="8">
        <v>13941.92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27668.783820168068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26057.067823129251</v>
      </c>
      <c r="M29" s="8">
        <f t="shared" si="1"/>
        <v>67667.771643297325</v>
      </c>
      <c r="N29" s="9">
        <f t="shared" si="2"/>
        <v>27.395858964897702</v>
      </c>
      <c r="O29" s="10">
        <v>780</v>
      </c>
      <c r="P29" s="3">
        <v>120</v>
      </c>
      <c r="Q29" s="3"/>
      <c r="R29" s="3">
        <v>70</v>
      </c>
      <c r="S29" s="8">
        <f t="shared" si="3"/>
        <v>26573.983195950772</v>
      </c>
      <c r="T29" s="7">
        <f t="shared" si="4"/>
        <v>1500</v>
      </c>
      <c r="U29" s="3">
        <v>1500</v>
      </c>
      <c r="V29" s="8">
        <f t="shared" si="5"/>
        <v>0</v>
      </c>
      <c r="W29" s="8"/>
      <c r="X29" s="11">
        <f t="shared" si="6"/>
        <v>41093.788447346553</v>
      </c>
    </row>
    <row r="30" spans="1:24" ht="15.5" x14ac:dyDescent="0.35">
      <c r="A30" s="1">
        <v>1076</v>
      </c>
      <c r="B30" s="2" t="s">
        <v>23</v>
      </c>
      <c r="C30" s="3" t="s">
        <v>115</v>
      </c>
      <c r="D30" s="18" t="str">
        <f t="shared" si="0"/>
        <v>jun</v>
      </c>
      <c r="E30" s="5">
        <v>45821</v>
      </c>
      <c r="F30" s="6">
        <v>45839</v>
      </c>
      <c r="G30" s="7">
        <v>3</v>
      </c>
      <c r="H30" s="7">
        <v>368</v>
      </c>
      <c r="I30" s="7"/>
      <c r="J30" s="17">
        <v>13223.67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7025.8714610128254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2862.4907787325456</v>
      </c>
      <c r="M30" s="8">
        <f t="shared" si="1"/>
        <v>23112.032239745371</v>
      </c>
      <c r="N30" s="9">
        <f t="shared" si="2"/>
        <v>62.804435434090685</v>
      </c>
      <c r="O30" s="10"/>
      <c r="P30" s="3"/>
      <c r="Q30" s="3"/>
      <c r="R30" s="3"/>
      <c r="S30" s="8">
        <f t="shared" si="3"/>
        <v>0</v>
      </c>
      <c r="T30" s="7">
        <f t="shared" si="4"/>
        <v>368</v>
      </c>
      <c r="U30" s="3">
        <v>368</v>
      </c>
      <c r="V30" s="8">
        <f t="shared" si="5"/>
        <v>0</v>
      </c>
      <c r="W30" s="8"/>
      <c r="X30" s="11">
        <f t="shared" si="6"/>
        <v>23112.032239745371</v>
      </c>
    </row>
    <row r="31" spans="1:24" ht="15.5" x14ac:dyDescent="0.35">
      <c r="A31" s="1">
        <v>1077</v>
      </c>
      <c r="B31" s="2" t="s">
        <v>23</v>
      </c>
      <c r="C31" s="3" t="s">
        <v>56</v>
      </c>
      <c r="D31" s="18" t="str">
        <f t="shared" si="0"/>
        <v>jun</v>
      </c>
      <c r="E31" s="5">
        <v>45825</v>
      </c>
      <c r="F31" s="6">
        <v>45845</v>
      </c>
      <c r="G31" s="7">
        <v>3</v>
      </c>
      <c r="H31" s="7">
        <v>355</v>
      </c>
      <c r="I31" s="7"/>
      <c r="J31" s="17">
        <v>11160.27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7025.8714610128254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2862.4907787325456</v>
      </c>
      <c r="M31" s="8">
        <f t="shared" si="1"/>
        <v>21048.632239745373</v>
      </c>
      <c r="N31" s="9">
        <f t="shared" si="2"/>
        <v>59.291921802099644</v>
      </c>
      <c r="O31" s="10"/>
      <c r="P31" s="3"/>
      <c r="Q31" s="3"/>
      <c r="R31" s="3"/>
      <c r="S31" s="8">
        <f t="shared" si="3"/>
        <v>0</v>
      </c>
      <c r="T31" s="7">
        <f t="shared" si="4"/>
        <v>355</v>
      </c>
      <c r="U31" s="3"/>
      <c r="V31" s="8">
        <f t="shared" si="5"/>
        <v>21048.632239745373</v>
      </c>
      <c r="W31" s="8"/>
      <c r="X31" s="11">
        <f t="shared" si="6"/>
        <v>0</v>
      </c>
    </row>
    <row r="32" spans="1:24" ht="15.5" x14ac:dyDescent="0.35">
      <c r="A32" s="29">
        <v>1078</v>
      </c>
      <c r="B32" s="30" t="s">
        <v>23</v>
      </c>
      <c r="C32" s="15" t="s">
        <v>57</v>
      </c>
      <c r="D32" s="31" t="str">
        <f t="shared" si="0"/>
        <v>jun</v>
      </c>
      <c r="E32" s="32">
        <v>45827</v>
      </c>
      <c r="F32" s="28"/>
      <c r="G32" s="28">
        <v>4</v>
      </c>
      <c r="H32" s="28"/>
      <c r="I32" s="28"/>
      <c r="J32" s="33">
        <v>7338.68</v>
      </c>
      <c r="K32" s="33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9367.8286146837672</v>
      </c>
      <c r="L32" s="33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3816.6543716433939</v>
      </c>
      <c r="M32" s="33">
        <f t="shared" si="1"/>
        <v>20523.162986327163</v>
      </c>
      <c r="N32" s="34" t="str">
        <f>IF(H32&gt;0,M32/H32,"N/A")</f>
        <v>N/A</v>
      </c>
      <c r="O32" s="35"/>
      <c r="P32" s="15"/>
      <c r="Q32" s="15"/>
      <c r="R32" s="15"/>
      <c r="S32" s="33">
        <f t="shared" si="3"/>
        <v>0</v>
      </c>
      <c r="T32" s="28">
        <f t="shared" si="4"/>
        <v>0</v>
      </c>
      <c r="U32" s="15"/>
      <c r="V32" s="33">
        <f t="shared" si="5"/>
        <v>0</v>
      </c>
      <c r="W32" s="33">
        <f>M32</f>
        <v>20523.162986327163</v>
      </c>
      <c r="X32" s="36">
        <f t="shared" si="6"/>
        <v>0</v>
      </c>
    </row>
    <row r="33" spans="1:24" ht="15.5" x14ac:dyDescent="0.35">
      <c r="A33" s="1">
        <v>1079</v>
      </c>
      <c r="B33" s="2" t="s">
        <v>23</v>
      </c>
      <c r="C33" s="3" t="s">
        <v>24</v>
      </c>
      <c r="D33" s="18" t="str">
        <f t="shared" si="0"/>
        <v>jun</v>
      </c>
      <c r="E33" s="5">
        <v>45833</v>
      </c>
      <c r="F33" s="6">
        <v>45846</v>
      </c>
      <c r="G33" s="7">
        <v>8</v>
      </c>
      <c r="H33" s="7">
        <v>873</v>
      </c>
      <c r="I33" s="7"/>
      <c r="J33" s="17">
        <v>20240.29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18735.657229367534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7633.3087432867878</v>
      </c>
      <c r="M33" s="8">
        <f t="shared" si="1"/>
        <v>46609.255972654326</v>
      </c>
      <c r="N33" s="9">
        <f t="shared" si="2"/>
        <v>53.389754836946537</v>
      </c>
      <c r="O33" s="10"/>
      <c r="P33" s="3"/>
      <c r="Q33" s="3"/>
      <c r="R33" s="3"/>
      <c r="S33" s="8">
        <f t="shared" si="3"/>
        <v>0</v>
      </c>
      <c r="T33" s="7">
        <f t="shared" si="4"/>
        <v>873</v>
      </c>
      <c r="U33" s="3"/>
      <c r="V33" s="8">
        <f t="shared" si="5"/>
        <v>46609.255972654326</v>
      </c>
      <c r="W33" s="8"/>
      <c r="X33" s="11">
        <f t="shared" si="6"/>
        <v>0</v>
      </c>
    </row>
    <row r="34" spans="1:24" ht="15.5" x14ac:dyDescent="0.35">
      <c r="A34" s="1" t="s">
        <v>116</v>
      </c>
      <c r="B34" s="2" t="s">
        <v>29</v>
      </c>
      <c r="C34" s="3" t="s">
        <v>47</v>
      </c>
      <c r="D34" s="18" t="str">
        <f t="shared" si="0"/>
        <v>jun</v>
      </c>
      <c r="E34" s="5">
        <v>45833</v>
      </c>
      <c r="F34" s="6">
        <v>45850</v>
      </c>
      <c r="G34" s="7">
        <v>20</v>
      </c>
      <c r="H34" s="7">
        <v>2530</v>
      </c>
      <c r="I34" s="7"/>
      <c r="J34" s="8">
        <v>21327.1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27668.783820168068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26057.067823129251</v>
      </c>
      <c r="M34" s="8">
        <f t="shared" si="1"/>
        <v>75052.951643297318</v>
      </c>
      <c r="N34" s="9">
        <f t="shared" si="2"/>
        <v>29.66519827798313</v>
      </c>
      <c r="O34" s="10"/>
      <c r="P34" s="3"/>
      <c r="Q34" s="3"/>
      <c r="R34" s="3"/>
      <c r="S34" s="8">
        <f t="shared" si="3"/>
        <v>0</v>
      </c>
      <c r="T34" s="7">
        <f t="shared" si="4"/>
        <v>2530</v>
      </c>
      <c r="U34" s="3"/>
      <c r="V34" s="8">
        <f t="shared" si="5"/>
        <v>75052.951643297318</v>
      </c>
      <c r="W34" s="8"/>
      <c r="X34" s="11">
        <f t="shared" si="6"/>
        <v>0</v>
      </c>
    </row>
    <row r="35" spans="1:24" ht="15.5" x14ac:dyDescent="0.35">
      <c r="A35" s="1">
        <v>1080</v>
      </c>
      <c r="B35" s="2" t="s">
        <v>23</v>
      </c>
      <c r="C35" s="3" t="s">
        <v>106</v>
      </c>
      <c r="D35" s="18" t="str">
        <f t="shared" si="0"/>
        <v>jun</v>
      </c>
      <c r="E35" s="5">
        <v>45835</v>
      </c>
      <c r="F35" s="6">
        <v>45852</v>
      </c>
      <c r="G35" s="7">
        <v>3</v>
      </c>
      <c r="H35" s="7">
        <v>360</v>
      </c>
      <c r="I35" s="7"/>
      <c r="J35" s="17">
        <v>10685.9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7025.8714610128254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2862.4907787325456</v>
      </c>
      <c r="M35" s="8">
        <f t="shared" si="1"/>
        <v>20574.262239745371</v>
      </c>
      <c r="N35" s="9">
        <f t="shared" si="2"/>
        <v>57.150728443737144</v>
      </c>
      <c r="O35" s="10"/>
      <c r="P35" s="3"/>
      <c r="Q35" s="3"/>
      <c r="R35" s="3"/>
      <c r="S35" s="8">
        <f t="shared" si="3"/>
        <v>0</v>
      </c>
      <c r="T35" s="7">
        <f t="shared" si="4"/>
        <v>360</v>
      </c>
      <c r="U35" s="3"/>
      <c r="V35" s="8">
        <f t="shared" si="5"/>
        <v>20574.262239745371</v>
      </c>
      <c r="W35" s="8"/>
      <c r="X35" s="11">
        <f t="shared" si="6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40" spans="1:24" ht="15.75" customHeight="1" x14ac:dyDescent="0.25">
      <c r="F40" s="22"/>
      <c r="I40" s="22" t="s">
        <v>117</v>
      </c>
      <c r="J40" s="22">
        <f>SUMIF(D3:D38,I40,J3:J38)</f>
        <v>175784.94</v>
      </c>
      <c r="K40" s="22">
        <v>175784.94</v>
      </c>
      <c r="M40" s="22">
        <f>SUMIF(D3:D38,I40,M3:M38)</f>
        <v>462215.08329999994</v>
      </c>
      <c r="N40" s="22"/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7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8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112</v>
      </c>
      <c r="M43" s="21" t="s">
        <v>118</v>
      </c>
      <c r="N43" s="21" t="s">
        <v>102</v>
      </c>
      <c r="O43" s="21" t="s">
        <v>70</v>
      </c>
      <c r="P43" s="21"/>
      <c r="Q43" s="21"/>
      <c r="R43" s="21" t="s">
        <v>71</v>
      </c>
      <c r="S43" s="21">
        <f t="shared" si="7"/>
        <v>3772.4869565217391</v>
      </c>
      <c r="T43" s="21" t="s">
        <v>72</v>
      </c>
      <c r="U43" s="21">
        <v>460</v>
      </c>
      <c r="V43" s="21">
        <v>8676.7199999999993</v>
      </c>
      <c r="W43" s="21">
        <f t="shared" si="8"/>
        <v>18.862434782608695</v>
      </c>
      <c r="X43" s="21">
        <f>ROUND(W43*150,2)</f>
        <v>2829.37</v>
      </c>
    </row>
    <row r="44" spans="1:24" ht="15.75" customHeight="1" x14ac:dyDescent="0.25">
      <c r="D44" s="22"/>
      <c r="E44" s="22">
        <v>19317.23</v>
      </c>
      <c r="F44" s="21" t="s">
        <v>56</v>
      </c>
      <c r="G44" s="21">
        <f t="shared" ref="G44:G48" si="9">SUM(I44:R44)</f>
        <v>720</v>
      </c>
      <c r="H44" s="22">
        <f>G44+J28</f>
        <v>20037.23</v>
      </c>
      <c r="I44" s="24">
        <v>720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ROUND(S43+S42,2)</f>
        <v>5655.69</v>
      </c>
    </row>
    <row r="45" spans="1:24" ht="15.75" customHeight="1" x14ac:dyDescent="0.25">
      <c r="D45" s="22"/>
      <c r="E45" s="22">
        <v>13223.67</v>
      </c>
      <c r="F45" s="21" t="s">
        <v>115</v>
      </c>
      <c r="G45" s="21">
        <f t="shared" si="9"/>
        <v>5400</v>
      </c>
      <c r="H45" s="22">
        <f t="shared" ref="H45:H46" si="10">G45+J30</f>
        <v>18623.669999999998</v>
      </c>
      <c r="I45" s="24"/>
      <c r="J45" s="24"/>
      <c r="K45" s="24"/>
      <c r="L45" s="24"/>
      <c r="M45" s="24">
        <v>5400</v>
      </c>
      <c r="N45" s="24"/>
      <c r="O45" s="24"/>
      <c r="P45" s="24"/>
      <c r="Q45" s="24"/>
      <c r="R45" s="24"/>
      <c r="S45" s="21">
        <f>S44/2</f>
        <v>2827.8449999999998</v>
      </c>
    </row>
    <row r="46" spans="1:24" ht="15.75" customHeight="1" x14ac:dyDescent="0.25">
      <c r="D46" s="22"/>
      <c r="E46" s="22">
        <v>11160.27</v>
      </c>
      <c r="F46" s="21" t="s">
        <v>56</v>
      </c>
      <c r="G46" s="21">
        <f t="shared" si="9"/>
        <v>360</v>
      </c>
      <c r="H46" s="22">
        <f t="shared" si="10"/>
        <v>11520.27</v>
      </c>
      <c r="I46" s="24">
        <v>360</v>
      </c>
      <c r="J46" s="24"/>
      <c r="K46" s="24"/>
      <c r="L46" s="24"/>
      <c r="M46" s="24"/>
      <c r="N46" s="24"/>
      <c r="O46" s="24"/>
      <c r="P46" s="24"/>
      <c r="Q46" s="24"/>
      <c r="R46" s="24"/>
    </row>
    <row r="47" spans="1:24" ht="15.75" customHeight="1" x14ac:dyDescent="0.25">
      <c r="D47" s="22"/>
      <c r="E47" s="22">
        <v>20240.29</v>
      </c>
      <c r="F47" s="21" t="s">
        <v>24</v>
      </c>
      <c r="G47" s="21">
        <f t="shared" si="9"/>
        <v>8675.6899999999987</v>
      </c>
      <c r="H47" s="22">
        <f>G47+J33</f>
        <v>28915.98</v>
      </c>
      <c r="I47" s="24">
        <f>18*15</f>
        <v>270</v>
      </c>
      <c r="J47" s="24">
        <v>5655.69</v>
      </c>
      <c r="K47" s="24">
        <v>2750</v>
      </c>
      <c r="L47" s="24"/>
      <c r="M47" s="24"/>
      <c r="N47" s="24"/>
      <c r="O47" s="24"/>
      <c r="P47" s="24"/>
      <c r="Q47" s="24"/>
      <c r="R47" s="24"/>
    </row>
    <row r="48" spans="1:24" ht="15.75" customHeight="1" x14ac:dyDescent="0.25">
      <c r="D48" s="22"/>
      <c r="E48" s="22">
        <v>10685.9</v>
      </c>
      <c r="F48" s="21" t="s">
        <v>80</v>
      </c>
      <c r="G48" s="21">
        <f t="shared" si="9"/>
        <v>117</v>
      </c>
      <c r="H48" s="22">
        <f>G48+J35-200</f>
        <v>10602.9</v>
      </c>
      <c r="I48" s="24"/>
      <c r="J48" s="24"/>
      <c r="K48" s="24"/>
      <c r="L48" s="24">
        <v>117</v>
      </c>
      <c r="M48" s="24"/>
      <c r="N48" s="24"/>
      <c r="O48" s="24"/>
      <c r="P48" s="24"/>
      <c r="Q48" s="24"/>
      <c r="R48" s="24"/>
    </row>
    <row r="50" spans="3:14" ht="15.75" customHeight="1" x14ac:dyDescent="0.25">
      <c r="I50" s="21" t="s">
        <v>119</v>
      </c>
      <c r="J50" s="21">
        <v>1800</v>
      </c>
    </row>
    <row r="51" spans="3:14" ht="15.75" customHeight="1" x14ac:dyDescent="0.25">
      <c r="J51" s="22"/>
    </row>
    <row r="52" spans="3:14" ht="15.75" customHeight="1" x14ac:dyDescent="0.25">
      <c r="N52" s="22">
        <f>AVERAGE(N40,Abril!N40,Marzo!N41,Febrero!N40,Enero!N44)</f>
        <v>46.552407555796762</v>
      </c>
    </row>
    <row r="55" spans="3:14" ht="15.75" customHeight="1" x14ac:dyDescent="0.25">
      <c r="C55" s="26"/>
    </row>
  </sheetData>
  <conditionalFormatting sqref="N2:N38">
    <cfRule type="cellIs" dxfId="11" priority="1" operator="greaterThan">
      <formula>60</formula>
    </cfRule>
    <cfRule type="cellIs" dxfId="10" priority="2" operator="greaterThan">
      <formula>45</formula>
    </cfRule>
  </conditionalFormatting>
  <dataValidations count="1">
    <dataValidation type="list" allowBlank="1" showErrorMessage="1" sqref="B2:B38" xr:uid="{00000000-0002-0000-05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X55"/>
  <sheetViews>
    <sheetView workbookViewId="0">
      <pane xSplit="3" topLeftCell="I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 t="s">
        <v>109</v>
      </c>
      <c r="B2" s="2" t="s">
        <v>29</v>
      </c>
      <c r="C2" s="3" t="s">
        <v>47</v>
      </c>
      <c r="D2" s="18" t="str">
        <f t="shared" ref="D2:D38" si="0">IF(E2="","-",(TEXT(E2,"MMM")))</f>
        <v>may</v>
      </c>
      <c r="E2" s="5">
        <v>45797</v>
      </c>
      <c r="F2" s="6">
        <v>45817</v>
      </c>
      <c r="G2" s="7">
        <v>20</v>
      </c>
      <c r="H2" s="7">
        <v>2426</v>
      </c>
      <c r="I2" s="3">
        <v>1248</v>
      </c>
      <c r="J2" s="8">
        <v>25584.32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19408.748553598201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13433.883931034485</v>
      </c>
      <c r="M2" s="8">
        <f t="shared" ref="M2:M38" si="1">J2+K2+L2</f>
        <v>58426.952484632689</v>
      </c>
      <c r="N2" s="9">
        <f t="shared" ref="N2:N38" si="2">IF(H2&gt;0,M2/H2,"N/A")</f>
        <v>24.083657248405888</v>
      </c>
      <c r="O2" s="10">
        <v>644</v>
      </c>
      <c r="P2" s="3">
        <v>270</v>
      </c>
      <c r="Q2" s="3"/>
      <c r="R2" s="3">
        <v>330</v>
      </c>
      <c r="S2" s="8">
        <f t="shared" ref="S2:S38" si="3">IF(N2="N/A",0,(O2+P2+Q2+R2)*N2)</f>
        <v>29960.069617016925</v>
      </c>
      <c r="T2" s="7">
        <f t="shared" ref="T2:T38" si="4">IF(I2=0,H2-O2-P2-Q2-R2,I2-O2-P2-Q2-R2)</f>
        <v>4</v>
      </c>
      <c r="U2" s="3">
        <v>0</v>
      </c>
      <c r="V2" s="8">
        <f t="shared" ref="V2:V38" si="5">IF(N2="N/A",0,((T2-U2)*N2)-W2)</f>
        <v>96.334628993623554</v>
      </c>
      <c r="W2" s="8"/>
      <c r="X2" s="11">
        <f t="shared" ref="X2:X6" si="6">IF(N2="N/A",0,U2*N2)</f>
        <v>0</v>
      </c>
    </row>
    <row r="3" spans="1:24" ht="15.5" x14ac:dyDescent="0.35">
      <c r="A3" s="1">
        <v>1068</v>
      </c>
      <c r="B3" s="2" t="s">
        <v>23</v>
      </c>
      <c r="C3" s="3" t="s">
        <v>42</v>
      </c>
      <c r="D3" s="18" t="str">
        <f t="shared" si="0"/>
        <v>may</v>
      </c>
      <c r="E3" s="5">
        <v>45798</v>
      </c>
      <c r="F3" s="6">
        <v>45825</v>
      </c>
      <c r="G3" s="7">
        <v>4</v>
      </c>
      <c r="H3" s="7">
        <v>450</v>
      </c>
      <c r="I3" s="3">
        <v>180</v>
      </c>
      <c r="J3" s="8">
        <v>7136.27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6716.8646846230222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2421.0106973180077</v>
      </c>
      <c r="M3" s="8">
        <f t="shared" si="1"/>
        <v>16274.145381941031</v>
      </c>
      <c r="N3" s="9">
        <f t="shared" si="2"/>
        <v>36.164767515424515</v>
      </c>
      <c r="O3" s="10">
        <v>120</v>
      </c>
      <c r="P3" s="3">
        <v>60</v>
      </c>
      <c r="Q3" s="3"/>
      <c r="R3" s="3"/>
      <c r="S3" s="8">
        <f t="shared" si="3"/>
        <v>6509.6581527764129</v>
      </c>
      <c r="T3" s="7">
        <f t="shared" si="4"/>
        <v>0</v>
      </c>
      <c r="U3" s="3">
        <v>0</v>
      </c>
      <c r="V3" s="8">
        <f t="shared" si="5"/>
        <v>0</v>
      </c>
      <c r="W3" s="8"/>
      <c r="X3" s="11">
        <f t="shared" si="6"/>
        <v>0</v>
      </c>
    </row>
    <row r="4" spans="1:24" ht="15.5" x14ac:dyDescent="0.35">
      <c r="A4" s="1">
        <v>1069</v>
      </c>
      <c r="B4" s="2" t="s">
        <v>23</v>
      </c>
      <c r="C4" s="3" t="s">
        <v>32</v>
      </c>
      <c r="D4" s="18" t="str">
        <f t="shared" si="0"/>
        <v>may</v>
      </c>
      <c r="E4" s="5">
        <v>45799</v>
      </c>
      <c r="F4" s="6">
        <v>45824</v>
      </c>
      <c r="G4" s="7">
        <v>3</v>
      </c>
      <c r="H4" s="7">
        <v>300</v>
      </c>
      <c r="I4" s="3">
        <v>120</v>
      </c>
      <c r="J4" s="8">
        <v>11369.49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5037.6485134672666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1815.7580229885057</v>
      </c>
      <c r="M4" s="8">
        <f t="shared" si="1"/>
        <v>18222.896536455773</v>
      </c>
      <c r="N4" s="9">
        <f t="shared" si="2"/>
        <v>60.742988454852579</v>
      </c>
      <c r="O4" s="10">
        <v>120</v>
      </c>
      <c r="P4" s="3"/>
      <c r="Q4" s="3"/>
      <c r="R4" s="3"/>
      <c r="S4" s="8">
        <f t="shared" si="3"/>
        <v>7289.1586145823094</v>
      </c>
      <c r="T4" s="7">
        <f t="shared" si="4"/>
        <v>0</v>
      </c>
      <c r="U4" s="3">
        <v>0</v>
      </c>
      <c r="V4" s="8">
        <f t="shared" si="5"/>
        <v>0</v>
      </c>
      <c r="W4" s="8"/>
      <c r="X4" s="11">
        <f t="shared" si="6"/>
        <v>0</v>
      </c>
    </row>
    <row r="5" spans="1:24" ht="15.5" x14ac:dyDescent="0.35">
      <c r="A5" s="1">
        <v>1070</v>
      </c>
      <c r="B5" s="2" t="s">
        <v>23</v>
      </c>
      <c r="C5" s="3" t="s">
        <v>24</v>
      </c>
      <c r="D5" s="18" t="str">
        <f t="shared" si="0"/>
        <v>may</v>
      </c>
      <c r="E5" s="5">
        <v>45805</v>
      </c>
      <c r="F5" s="6">
        <v>45817</v>
      </c>
      <c r="G5" s="7">
        <v>8</v>
      </c>
      <c r="H5" s="7">
        <v>868</v>
      </c>
      <c r="I5" s="3">
        <v>60</v>
      </c>
      <c r="J5" s="17">
        <v>20968.189999999999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13433.729369246044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4842.0213946360154</v>
      </c>
      <c r="M5" s="8">
        <f t="shared" si="1"/>
        <v>39243.940763882056</v>
      </c>
      <c r="N5" s="9">
        <f t="shared" si="2"/>
        <v>45.211913322444765</v>
      </c>
      <c r="O5" s="10">
        <v>60</v>
      </c>
      <c r="P5" s="3"/>
      <c r="Q5" s="3"/>
      <c r="R5" s="3"/>
      <c r="S5" s="8">
        <f t="shared" si="3"/>
        <v>2712.714799346686</v>
      </c>
      <c r="T5" s="7">
        <f t="shared" si="4"/>
        <v>0</v>
      </c>
      <c r="U5" s="3">
        <v>0</v>
      </c>
      <c r="V5" s="8">
        <f t="shared" si="5"/>
        <v>0</v>
      </c>
      <c r="W5" s="8"/>
      <c r="X5" s="11">
        <f t="shared" si="6"/>
        <v>0</v>
      </c>
    </row>
    <row r="6" spans="1:24" ht="15.5" x14ac:dyDescent="0.35">
      <c r="A6" s="1" t="s">
        <v>110</v>
      </c>
      <c r="B6" s="2" t="s">
        <v>29</v>
      </c>
      <c r="C6" s="3" t="s">
        <v>34</v>
      </c>
      <c r="D6" s="18" t="str">
        <f t="shared" si="0"/>
        <v>may</v>
      </c>
      <c r="E6" s="5">
        <v>45806</v>
      </c>
      <c r="F6" s="6">
        <v>45821</v>
      </c>
      <c r="G6" s="7">
        <v>40</v>
      </c>
      <c r="H6" s="7">
        <v>4742</v>
      </c>
      <c r="I6" s="3">
        <v>1519</v>
      </c>
      <c r="J6" s="8">
        <v>82277.570000000007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38817.497107196403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26867.767862068969</v>
      </c>
      <c r="M6" s="8">
        <f t="shared" si="1"/>
        <v>147962.83496926539</v>
      </c>
      <c r="N6" s="9">
        <f t="shared" si="2"/>
        <v>31.202622304779709</v>
      </c>
      <c r="O6" s="10">
        <v>836</v>
      </c>
      <c r="P6" s="3">
        <v>420</v>
      </c>
      <c r="Q6" s="3"/>
      <c r="R6" s="3">
        <v>270</v>
      </c>
      <c r="S6" s="8">
        <f t="shared" si="3"/>
        <v>47615.201637093836</v>
      </c>
      <c r="T6" s="7">
        <f t="shared" si="4"/>
        <v>-7</v>
      </c>
      <c r="U6" s="3">
        <v>0</v>
      </c>
      <c r="V6" s="8">
        <f t="shared" si="5"/>
        <v>-218.41835613345796</v>
      </c>
      <c r="W6" s="8"/>
      <c r="X6" s="11">
        <f t="shared" si="6"/>
        <v>0</v>
      </c>
    </row>
    <row r="7" spans="1:24" ht="15.5" x14ac:dyDescent="0.35">
      <c r="A7" s="1">
        <v>1071</v>
      </c>
      <c r="B7" s="2" t="s">
        <v>23</v>
      </c>
      <c r="C7" s="3" t="s">
        <v>35</v>
      </c>
      <c r="D7" s="18" t="str">
        <f t="shared" si="0"/>
        <v>may</v>
      </c>
      <c r="E7" s="5">
        <v>45806</v>
      </c>
      <c r="F7" s="6">
        <v>45819</v>
      </c>
      <c r="G7" s="7">
        <v>4</v>
      </c>
      <c r="H7" s="7">
        <v>461</v>
      </c>
      <c r="I7" s="3">
        <v>42</v>
      </c>
      <c r="J7" s="8">
        <v>8359.19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6716.8646846230222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2421.0106973180077</v>
      </c>
      <c r="M7" s="8">
        <f t="shared" si="1"/>
        <v>17497.065381941029</v>
      </c>
      <c r="N7" s="9">
        <f t="shared" si="2"/>
        <v>37.954588681000061</v>
      </c>
      <c r="O7" s="10">
        <v>40</v>
      </c>
      <c r="P7" s="3"/>
      <c r="Q7" s="3"/>
      <c r="R7" s="3"/>
      <c r="S7" s="8">
        <f t="shared" si="3"/>
        <v>1518.1835472400026</v>
      </c>
      <c r="T7" s="7">
        <f t="shared" si="4"/>
        <v>2</v>
      </c>
      <c r="U7" s="3">
        <v>0</v>
      </c>
      <c r="V7" s="8">
        <f t="shared" si="5"/>
        <v>75.909177362000122</v>
      </c>
      <c r="W7" s="8"/>
      <c r="X7" s="11"/>
    </row>
    <row r="8" spans="1:24" ht="15.5" x14ac:dyDescent="0.35">
      <c r="A8" s="1">
        <v>1072</v>
      </c>
      <c r="B8" s="2" t="s">
        <v>23</v>
      </c>
      <c r="C8" s="3" t="s">
        <v>48</v>
      </c>
      <c r="D8" s="18" t="str">
        <f t="shared" si="0"/>
        <v>may</v>
      </c>
      <c r="E8" s="5">
        <v>45807</v>
      </c>
      <c r="F8" s="6">
        <v>45840</v>
      </c>
      <c r="G8" s="7">
        <v>3</v>
      </c>
      <c r="H8" s="7">
        <v>342</v>
      </c>
      <c r="I8" s="3">
        <v>342</v>
      </c>
      <c r="J8" s="8">
        <v>7123.66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5037.6485134672666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1815.7580229885057</v>
      </c>
      <c r="M8" s="8">
        <f t="shared" si="1"/>
        <v>13977.066536455772</v>
      </c>
      <c r="N8" s="9">
        <f t="shared" si="2"/>
        <v>40.868615603671849</v>
      </c>
      <c r="O8" s="10">
        <v>240</v>
      </c>
      <c r="P8" s="3">
        <v>102</v>
      </c>
      <c r="Q8" s="3"/>
      <c r="R8" s="3"/>
      <c r="S8" s="8">
        <f t="shared" si="3"/>
        <v>13977.066536455772</v>
      </c>
      <c r="T8" s="7">
        <f t="shared" si="4"/>
        <v>0</v>
      </c>
      <c r="U8" s="3">
        <v>0</v>
      </c>
      <c r="V8" s="8">
        <f t="shared" si="5"/>
        <v>0</v>
      </c>
      <c r="W8" s="8"/>
      <c r="X8" s="11">
        <f t="shared" ref="X8:X38" si="7">IF(N8="N/A",0,U8*N8)</f>
        <v>0</v>
      </c>
    </row>
    <row r="9" spans="1:24" ht="15.5" x14ac:dyDescent="0.35">
      <c r="A9" s="1">
        <v>1073</v>
      </c>
      <c r="B9" s="2" t="s">
        <v>23</v>
      </c>
      <c r="C9" s="3" t="s">
        <v>36</v>
      </c>
      <c r="D9" s="18" t="str">
        <f t="shared" si="0"/>
        <v>jun</v>
      </c>
      <c r="E9" s="5">
        <v>45812</v>
      </c>
      <c r="F9" s="6">
        <v>45829</v>
      </c>
      <c r="G9" s="7">
        <v>8</v>
      </c>
      <c r="H9" s="7">
        <v>909</v>
      </c>
      <c r="I9" s="3">
        <v>729</v>
      </c>
      <c r="J9" s="8">
        <v>12356.31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18735.657229367534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7633.3087432867878</v>
      </c>
      <c r="M9" s="8">
        <f t="shared" si="1"/>
        <v>38725.275972654323</v>
      </c>
      <c r="N9" s="9">
        <f t="shared" si="2"/>
        <v>42.602063776297385</v>
      </c>
      <c r="O9" s="10">
        <v>473</v>
      </c>
      <c r="P9" s="3">
        <v>189</v>
      </c>
      <c r="Q9" s="3"/>
      <c r="R9" s="3">
        <v>60</v>
      </c>
      <c r="S9" s="8">
        <f t="shared" si="3"/>
        <v>30758.69004648671</v>
      </c>
      <c r="T9" s="7">
        <f t="shared" si="4"/>
        <v>7</v>
      </c>
      <c r="U9" s="3">
        <v>0</v>
      </c>
      <c r="V9" s="8">
        <f t="shared" si="5"/>
        <v>298.21444643408171</v>
      </c>
      <c r="W9" s="8"/>
      <c r="X9" s="11">
        <f t="shared" si="7"/>
        <v>0</v>
      </c>
    </row>
    <row r="10" spans="1:24" ht="15.5" x14ac:dyDescent="0.35">
      <c r="A10" s="1" t="s">
        <v>113</v>
      </c>
      <c r="B10" s="2" t="s">
        <v>29</v>
      </c>
      <c r="C10" s="3" t="s">
        <v>41</v>
      </c>
      <c r="D10" s="18" t="str">
        <f t="shared" si="0"/>
        <v>jun</v>
      </c>
      <c r="E10" s="5">
        <v>45812</v>
      </c>
      <c r="F10" s="6">
        <v>45824</v>
      </c>
      <c r="G10" s="7">
        <v>20</v>
      </c>
      <c r="H10" s="7">
        <v>2330</v>
      </c>
      <c r="I10" s="3">
        <v>1860</v>
      </c>
      <c r="J10" s="8">
        <v>39370.9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27668.783820168068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26057.067823129251</v>
      </c>
      <c r="M10" s="8">
        <f t="shared" si="1"/>
        <v>93096.751643297321</v>
      </c>
      <c r="N10" s="9">
        <f t="shared" si="2"/>
        <v>39.955687400556791</v>
      </c>
      <c r="O10" s="10">
        <v>1106</v>
      </c>
      <c r="P10" s="3">
        <v>360</v>
      </c>
      <c r="Q10" s="3"/>
      <c r="R10" s="3">
        <v>390</v>
      </c>
      <c r="S10" s="8">
        <f t="shared" si="3"/>
        <v>74157.755815433396</v>
      </c>
      <c r="T10" s="7">
        <f t="shared" si="4"/>
        <v>4</v>
      </c>
      <c r="U10" s="3">
        <v>0</v>
      </c>
      <c r="V10" s="8">
        <f t="shared" si="5"/>
        <v>159.82274960222716</v>
      </c>
      <c r="W10" s="8"/>
      <c r="X10" s="11">
        <f t="shared" si="7"/>
        <v>0</v>
      </c>
    </row>
    <row r="11" spans="1:24" ht="15.5" x14ac:dyDescent="0.35">
      <c r="A11" s="1">
        <v>1074</v>
      </c>
      <c r="B11" s="2" t="s">
        <v>23</v>
      </c>
      <c r="C11" s="3" t="s">
        <v>87</v>
      </c>
      <c r="D11" s="18" t="str">
        <f t="shared" si="0"/>
        <v>jun</v>
      </c>
      <c r="E11" s="5">
        <v>45813</v>
      </c>
      <c r="F11" s="6">
        <v>45831</v>
      </c>
      <c r="G11" s="7">
        <v>3</v>
      </c>
      <c r="H11" s="7">
        <v>329</v>
      </c>
      <c r="I11" s="3">
        <v>209</v>
      </c>
      <c r="J11" s="8">
        <v>6822.67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7025.8714610128254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2862.4907787325456</v>
      </c>
      <c r="M11" s="8">
        <f t="shared" si="1"/>
        <v>16711.032239745371</v>
      </c>
      <c r="N11" s="9">
        <f t="shared" si="2"/>
        <v>50.793411063055842</v>
      </c>
      <c r="O11" s="10">
        <v>145</v>
      </c>
      <c r="P11" s="3"/>
      <c r="Q11" s="3"/>
      <c r="R11" s="3">
        <v>60</v>
      </c>
      <c r="S11" s="8">
        <f t="shared" si="3"/>
        <v>10412.649267926448</v>
      </c>
      <c r="T11" s="7">
        <f t="shared" si="4"/>
        <v>4</v>
      </c>
      <c r="U11" s="3">
        <v>0</v>
      </c>
      <c r="V11" s="8">
        <f t="shared" si="5"/>
        <v>203.17364425222337</v>
      </c>
      <c r="W11" s="8"/>
      <c r="X11" s="11">
        <f t="shared" si="7"/>
        <v>0</v>
      </c>
    </row>
    <row r="12" spans="1:24" ht="15.5" x14ac:dyDescent="0.35">
      <c r="A12" s="1">
        <v>1075</v>
      </c>
      <c r="B12" s="2" t="s">
        <v>23</v>
      </c>
      <c r="C12" s="3" t="s">
        <v>56</v>
      </c>
      <c r="D12" s="18" t="str">
        <f t="shared" si="0"/>
        <v>jun</v>
      </c>
      <c r="E12" s="5">
        <v>45819</v>
      </c>
      <c r="F12" s="6">
        <v>45836</v>
      </c>
      <c r="G12" s="7">
        <v>6</v>
      </c>
      <c r="H12" s="7">
        <v>700</v>
      </c>
      <c r="I12" s="3">
        <v>700</v>
      </c>
      <c r="J12" s="17">
        <v>19317.23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14051.742922025651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5724.9815574650911</v>
      </c>
      <c r="M12" s="8">
        <f t="shared" si="1"/>
        <v>39093.954479490742</v>
      </c>
      <c r="N12" s="9">
        <f t="shared" si="2"/>
        <v>55.848506399272487</v>
      </c>
      <c r="O12" s="10">
        <v>323</v>
      </c>
      <c r="P12" s="3">
        <v>160</v>
      </c>
      <c r="Q12" s="3"/>
      <c r="R12" s="3">
        <v>180</v>
      </c>
      <c r="S12" s="8">
        <f t="shared" si="3"/>
        <v>37027.559742717662</v>
      </c>
      <c r="T12" s="7">
        <f t="shared" si="4"/>
        <v>37</v>
      </c>
      <c r="U12" s="3">
        <v>30</v>
      </c>
      <c r="V12" s="8">
        <f t="shared" si="5"/>
        <v>390.93954479490742</v>
      </c>
      <c r="W12" s="8"/>
      <c r="X12" s="11">
        <f t="shared" si="7"/>
        <v>1675.4551919781745</v>
      </c>
    </row>
    <row r="13" spans="1:24" ht="15.5" x14ac:dyDescent="0.35">
      <c r="A13" s="1" t="s">
        <v>114</v>
      </c>
      <c r="B13" s="2" t="s">
        <v>29</v>
      </c>
      <c r="C13" s="3" t="s">
        <v>39</v>
      </c>
      <c r="D13" s="18" t="str">
        <f t="shared" si="0"/>
        <v>jun</v>
      </c>
      <c r="E13" s="5">
        <v>45819</v>
      </c>
      <c r="F13" s="6">
        <v>45829</v>
      </c>
      <c r="G13" s="7">
        <v>20</v>
      </c>
      <c r="H13" s="7">
        <v>2470</v>
      </c>
      <c r="I13" s="3">
        <v>1500</v>
      </c>
      <c r="J13" s="8">
        <v>13941.92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27668.783820168068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26057.067823129251</v>
      </c>
      <c r="M13" s="8">
        <f t="shared" si="1"/>
        <v>67667.771643297325</v>
      </c>
      <c r="N13" s="9">
        <f t="shared" si="2"/>
        <v>27.395858964897702</v>
      </c>
      <c r="O13" s="10">
        <v>1150</v>
      </c>
      <c r="P13" s="3">
        <v>240</v>
      </c>
      <c r="Q13" s="3"/>
      <c r="R13" s="3">
        <v>140</v>
      </c>
      <c r="S13" s="8">
        <f t="shared" si="3"/>
        <v>41915.66421629348</v>
      </c>
      <c r="T13" s="37">
        <f t="shared" si="4"/>
        <v>-30</v>
      </c>
      <c r="U13" s="3">
        <v>0</v>
      </c>
      <c r="V13" s="8">
        <f t="shared" si="5"/>
        <v>-821.87576894693109</v>
      </c>
      <c r="W13" s="8"/>
      <c r="X13" s="11">
        <f t="shared" si="7"/>
        <v>0</v>
      </c>
    </row>
    <row r="14" spans="1:24" ht="15.5" x14ac:dyDescent="0.35">
      <c r="A14" s="1">
        <v>1076</v>
      </c>
      <c r="B14" s="2" t="s">
        <v>23</v>
      </c>
      <c r="C14" s="3" t="s">
        <v>115</v>
      </c>
      <c r="D14" s="18" t="str">
        <f t="shared" si="0"/>
        <v>jun</v>
      </c>
      <c r="E14" s="5">
        <v>45821</v>
      </c>
      <c r="F14" s="6">
        <v>45839</v>
      </c>
      <c r="G14" s="7">
        <v>3</v>
      </c>
      <c r="H14" s="7">
        <v>368</v>
      </c>
      <c r="I14" s="3">
        <v>368</v>
      </c>
      <c r="J14" s="17">
        <v>13223.67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7025.8714610128254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2862.4907787325456</v>
      </c>
      <c r="M14" s="8">
        <f t="shared" si="1"/>
        <v>23112.032239745371</v>
      </c>
      <c r="N14" s="9">
        <f t="shared" si="2"/>
        <v>62.804435434090685</v>
      </c>
      <c r="O14" s="10">
        <v>240</v>
      </c>
      <c r="P14" s="3">
        <v>128</v>
      </c>
      <c r="Q14" s="3"/>
      <c r="R14" s="3"/>
      <c r="S14" s="8">
        <f t="shared" si="3"/>
        <v>23112.032239745371</v>
      </c>
      <c r="T14" s="7">
        <f t="shared" si="4"/>
        <v>0</v>
      </c>
      <c r="U14" s="3">
        <v>0</v>
      </c>
      <c r="V14" s="8">
        <f t="shared" si="5"/>
        <v>0</v>
      </c>
      <c r="W14" s="8"/>
      <c r="X14" s="11">
        <f t="shared" si="7"/>
        <v>0</v>
      </c>
    </row>
    <row r="15" spans="1:24" ht="15.5" x14ac:dyDescent="0.35">
      <c r="A15" s="1">
        <v>1077</v>
      </c>
      <c r="B15" s="2" t="s">
        <v>23</v>
      </c>
      <c r="C15" s="3" t="s">
        <v>56</v>
      </c>
      <c r="D15" s="18" t="str">
        <f t="shared" si="0"/>
        <v>jun</v>
      </c>
      <c r="E15" s="5">
        <v>45825</v>
      </c>
      <c r="F15" s="6">
        <v>45845</v>
      </c>
      <c r="G15" s="7">
        <v>3</v>
      </c>
      <c r="H15" s="7">
        <v>355</v>
      </c>
      <c r="I15" s="7"/>
      <c r="J15" s="17">
        <v>11160.27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7025.8714610128254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2862.4907787325456</v>
      </c>
      <c r="M15" s="8">
        <f t="shared" si="1"/>
        <v>21048.632239745373</v>
      </c>
      <c r="N15" s="9">
        <f t="shared" si="2"/>
        <v>59.291921802099644</v>
      </c>
      <c r="O15" s="10">
        <v>273</v>
      </c>
      <c r="P15" s="3">
        <v>60</v>
      </c>
      <c r="Q15" s="3"/>
      <c r="R15" s="3"/>
      <c r="S15" s="8">
        <f t="shared" si="3"/>
        <v>19744.209960099182</v>
      </c>
      <c r="T15" s="7">
        <f t="shared" si="4"/>
        <v>22</v>
      </c>
      <c r="U15" s="3">
        <v>20</v>
      </c>
      <c r="V15" s="8">
        <f t="shared" si="5"/>
        <v>118.58384360419929</v>
      </c>
      <c r="W15" s="8"/>
      <c r="X15" s="11">
        <f t="shared" si="7"/>
        <v>1185.838436041993</v>
      </c>
    </row>
    <row r="16" spans="1:24" ht="15.5" x14ac:dyDescent="0.35">
      <c r="A16" s="1">
        <v>1079</v>
      </c>
      <c r="B16" s="2" t="s">
        <v>23</v>
      </c>
      <c r="C16" s="3" t="s">
        <v>24</v>
      </c>
      <c r="D16" s="18" t="str">
        <f t="shared" si="0"/>
        <v>jun</v>
      </c>
      <c r="E16" s="5">
        <v>45833</v>
      </c>
      <c r="F16" s="6">
        <v>45846</v>
      </c>
      <c r="G16" s="7">
        <v>8</v>
      </c>
      <c r="H16" s="7">
        <v>873</v>
      </c>
      <c r="I16" s="7"/>
      <c r="J16" s="17">
        <v>20240.29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18735.657229367534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7633.3087432867878</v>
      </c>
      <c r="M16" s="8">
        <f t="shared" si="1"/>
        <v>46609.255972654326</v>
      </c>
      <c r="N16" s="9">
        <f t="shared" si="2"/>
        <v>53.389754836946537</v>
      </c>
      <c r="O16" s="10">
        <v>738</v>
      </c>
      <c r="P16" s="3">
        <v>93</v>
      </c>
      <c r="Q16" s="3"/>
      <c r="R16" s="3">
        <v>20</v>
      </c>
      <c r="S16" s="8">
        <f t="shared" si="3"/>
        <v>45434.681366241501</v>
      </c>
      <c r="T16" s="7">
        <f t="shared" si="4"/>
        <v>22</v>
      </c>
      <c r="U16" s="3">
        <v>20</v>
      </c>
      <c r="V16" s="8">
        <f t="shared" si="5"/>
        <v>106.77950967389307</v>
      </c>
      <c r="W16" s="8"/>
      <c r="X16" s="11">
        <f t="shared" si="7"/>
        <v>1067.7950967389306</v>
      </c>
    </row>
    <row r="17" spans="1:24" ht="15.5" x14ac:dyDescent="0.35">
      <c r="A17" s="1" t="s">
        <v>116</v>
      </c>
      <c r="B17" s="2" t="s">
        <v>29</v>
      </c>
      <c r="C17" s="3" t="s">
        <v>47</v>
      </c>
      <c r="D17" s="18" t="str">
        <f t="shared" si="0"/>
        <v>jun</v>
      </c>
      <c r="E17" s="5">
        <v>45833</v>
      </c>
      <c r="F17" s="6">
        <v>45850</v>
      </c>
      <c r="G17" s="7">
        <v>20</v>
      </c>
      <c r="H17" s="7">
        <v>2530</v>
      </c>
      <c r="I17" s="7"/>
      <c r="J17" s="8">
        <v>21327.1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27668.783820168068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26057.067823129251</v>
      </c>
      <c r="M17" s="8">
        <f t="shared" si="1"/>
        <v>75052.951643297318</v>
      </c>
      <c r="N17" s="9">
        <f t="shared" si="2"/>
        <v>29.66519827798313</v>
      </c>
      <c r="O17" s="10">
        <v>970</v>
      </c>
      <c r="P17" s="3">
        <v>120</v>
      </c>
      <c r="Q17" s="3">
        <v>150</v>
      </c>
      <c r="R17" s="3">
        <v>260</v>
      </c>
      <c r="S17" s="8">
        <f t="shared" si="3"/>
        <v>44497.797416974696</v>
      </c>
      <c r="T17" s="7">
        <f t="shared" si="4"/>
        <v>1030</v>
      </c>
      <c r="U17" s="3">
        <v>1030</v>
      </c>
      <c r="V17" s="8">
        <f t="shared" si="5"/>
        <v>0</v>
      </c>
      <c r="W17" s="8"/>
      <c r="X17" s="11">
        <f t="shared" si="7"/>
        <v>30555.154226322626</v>
      </c>
    </row>
    <row r="18" spans="1:24" ht="15.5" x14ac:dyDescent="0.35">
      <c r="A18" s="1">
        <v>1080</v>
      </c>
      <c r="B18" s="2" t="s">
        <v>23</v>
      </c>
      <c r="C18" s="3" t="s">
        <v>106</v>
      </c>
      <c r="D18" s="18" t="str">
        <f t="shared" si="0"/>
        <v>jun</v>
      </c>
      <c r="E18" s="5">
        <v>45835</v>
      </c>
      <c r="F18" s="6">
        <v>45852</v>
      </c>
      <c r="G18" s="7">
        <v>3</v>
      </c>
      <c r="H18" s="7">
        <v>360</v>
      </c>
      <c r="I18" s="7"/>
      <c r="J18" s="17">
        <v>10685.9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7025.8714610128254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2862.4907787325456</v>
      </c>
      <c r="M18" s="8">
        <f t="shared" si="1"/>
        <v>20574.262239745371</v>
      </c>
      <c r="N18" s="9">
        <f t="shared" si="2"/>
        <v>57.150728443737144</v>
      </c>
      <c r="O18" s="10">
        <v>189</v>
      </c>
      <c r="P18" s="3">
        <v>60</v>
      </c>
      <c r="Q18" s="3">
        <v>50</v>
      </c>
      <c r="R18" s="3"/>
      <c r="S18" s="8">
        <f t="shared" si="3"/>
        <v>17088.067804677405</v>
      </c>
      <c r="T18" s="7">
        <f t="shared" si="4"/>
        <v>61</v>
      </c>
      <c r="U18" s="3">
        <v>61</v>
      </c>
      <c r="V18" s="8">
        <f t="shared" si="5"/>
        <v>0</v>
      </c>
      <c r="W18" s="8"/>
      <c r="X18" s="11">
        <f t="shared" si="7"/>
        <v>3486.194435067966</v>
      </c>
    </row>
    <row r="19" spans="1:24" ht="15.5" x14ac:dyDescent="0.35">
      <c r="A19" s="1">
        <v>1081</v>
      </c>
      <c r="B19" s="2" t="s">
        <v>23</v>
      </c>
      <c r="C19" s="3" t="s">
        <v>83</v>
      </c>
      <c r="D19" s="18" t="str">
        <f t="shared" si="0"/>
        <v>jul</v>
      </c>
      <c r="E19" s="5">
        <v>45840</v>
      </c>
      <c r="F19" s="6">
        <v>45864</v>
      </c>
      <c r="G19" s="7">
        <v>8</v>
      </c>
      <c r="H19" s="7">
        <v>900</v>
      </c>
      <c r="I19" s="7"/>
      <c r="J19" s="8">
        <v>15255.24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10359.150554354557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5539.3423233587437</v>
      </c>
      <c r="M19" s="8">
        <f t="shared" si="1"/>
        <v>31153.732877713301</v>
      </c>
      <c r="N19" s="9">
        <f t="shared" si="2"/>
        <v>34.615258753014778</v>
      </c>
      <c r="O19" s="10">
        <v>120</v>
      </c>
      <c r="P19" s="3"/>
      <c r="Q19" s="3"/>
      <c r="R19" s="3">
        <v>40</v>
      </c>
      <c r="S19" s="8">
        <f t="shared" si="3"/>
        <v>5538.4414004823648</v>
      </c>
      <c r="T19" s="7">
        <f t="shared" si="4"/>
        <v>740</v>
      </c>
      <c r="U19" s="3">
        <v>740</v>
      </c>
      <c r="V19" s="8">
        <f t="shared" si="5"/>
        <v>0</v>
      </c>
      <c r="W19" s="8"/>
      <c r="X19" s="11">
        <f t="shared" si="7"/>
        <v>25615.291477230938</v>
      </c>
    </row>
    <row r="20" spans="1:24" ht="15.5" x14ac:dyDescent="0.35">
      <c r="A20" s="1" t="s">
        <v>120</v>
      </c>
      <c r="B20" s="2" t="s">
        <v>29</v>
      </c>
      <c r="C20" s="3" t="s">
        <v>34</v>
      </c>
      <c r="D20" s="18" t="str">
        <f t="shared" si="0"/>
        <v>jul</v>
      </c>
      <c r="E20" s="5">
        <v>45841</v>
      </c>
      <c r="F20" s="6">
        <v>45855</v>
      </c>
      <c r="G20" s="7">
        <v>40</v>
      </c>
      <c r="H20" s="7">
        <v>3955</v>
      </c>
      <c r="I20" s="7"/>
      <c r="J20" s="8">
        <v>71277.34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30068.13442661913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27610.772528647823</v>
      </c>
      <c r="M20" s="8">
        <f t="shared" si="1"/>
        <v>128956.24695526695</v>
      </c>
      <c r="N20" s="9">
        <f t="shared" si="2"/>
        <v>32.605877864795687</v>
      </c>
      <c r="O20" s="10">
        <v>1972</v>
      </c>
      <c r="P20" s="3">
        <v>600</v>
      </c>
      <c r="Q20" s="3">
        <v>230</v>
      </c>
      <c r="R20" s="3">
        <v>850</v>
      </c>
      <c r="S20" s="8">
        <f t="shared" si="3"/>
        <v>119076.66596223385</v>
      </c>
      <c r="T20" s="7">
        <f t="shared" si="4"/>
        <v>303</v>
      </c>
      <c r="U20" s="3">
        <v>303</v>
      </c>
      <c r="V20" s="8">
        <f t="shared" si="5"/>
        <v>0</v>
      </c>
      <c r="W20" s="8"/>
      <c r="X20" s="11">
        <f t="shared" si="7"/>
        <v>9879.5809930330925</v>
      </c>
    </row>
    <row r="21" spans="1:24" ht="15.5" x14ac:dyDescent="0.35">
      <c r="A21" s="1">
        <v>1082</v>
      </c>
      <c r="B21" s="2" t="s">
        <v>23</v>
      </c>
      <c r="C21" s="3" t="s">
        <v>52</v>
      </c>
      <c r="D21" s="18" t="str">
        <f t="shared" si="0"/>
        <v>jul</v>
      </c>
      <c r="E21" s="5">
        <v>45841</v>
      </c>
      <c r="F21" s="6">
        <v>45871</v>
      </c>
      <c r="G21" s="7">
        <v>4</v>
      </c>
      <c r="H21" s="7">
        <v>424</v>
      </c>
      <c r="I21" s="7"/>
      <c r="J21" s="8">
        <v>7196.43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5179.5752771772786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2769.6711616793718</v>
      </c>
      <c r="M21" s="8">
        <f t="shared" si="1"/>
        <v>15145.676438856652</v>
      </c>
      <c r="N21" s="9">
        <f t="shared" si="2"/>
        <v>35.720934997303424</v>
      </c>
      <c r="O21" s="10"/>
      <c r="P21" s="3"/>
      <c r="Q21" s="3"/>
      <c r="R21" s="3"/>
      <c r="S21" s="8">
        <f t="shared" si="3"/>
        <v>0</v>
      </c>
      <c r="T21" s="7">
        <f t="shared" si="4"/>
        <v>424</v>
      </c>
      <c r="U21" s="3">
        <v>424</v>
      </c>
      <c r="V21" s="8">
        <f t="shared" si="5"/>
        <v>0</v>
      </c>
      <c r="W21" s="8"/>
      <c r="X21" s="11">
        <f t="shared" si="7"/>
        <v>15145.676438856652</v>
      </c>
    </row>
    <row r="22" spans="1:24" ht="15.5" x14ac:dyDescent="0.35">
      <c r="A22" s="1">
        <v>1083</v>
      </c>
      <c r="B22" s="2" t="s">
        <v>23</v>
      </c>
      <c r="C22" s="3" t="s">
        <v>31</v>
      </c>
      <c r="D22" s="18" t="str">
        <f t="shared" si="0"/>
        <v>jul</v>
      </c>
      <c r="E22" s="5">
        <v>45842</v>
      </c>
      <c r="F22" s="6">
        <v>45864</v>
      </c>
      <c r="G22" s="7">
        <v>3</v>
      </c>
      <c r="H22" s="7">
        <v>390</v>
      </c>
      <c r="I22" s="7"/>
      <c r="J22" s="17">
        <v>7768.17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3884.681457882959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2077.2533712595286</v>
      </c>
      <c r="M22" s="8">
        <f t="shared" si="1"/>
        <v>13730.104829142489</v>
      </c>
      <c r="N22" s="9">
        <f t="shared" si="2"/>
        <v>35.205396997801252</v>
      </c>
      <c r="O22" s="10">
        <v>120</v>
      </c>
      <c r="P22" s="3">
        <v>60</v>
      </c>
      <c r="Q22" s="3"/>
      <c r="R22" s="3"/>
      <c r="S22" s="8">
        <f t="shared" si="3"/>
        <v>6336.9714596042249</v>
      </c>
      <c r="T22" s="7">
        <f t="shared" si="4"/>
        <v>210</v>
      </c>
      <c r="U22" s="3">
        <v>210</v>
      </c>
      <c r="V22" s="8">
        <f t="shared" si="5"/>
        <v>0</v>
      </c>
      <c r="W22" s="8"/>
      <c r="X22" s="11">
        <f t="shared" si="7"/>
        <v>7393.1333695382627</v>
      </c>
    </row>
    <row r="23" spans="1:24" ht="15.5" x14ac:dyDescent="0.35">
      <c r="A23" s="1">
        <v>1084</v>
      </c>
      <c r="B23" s="2" t="s">
        <v>23</v>
      </c>
      <c r="C23" s="3" t="s">
        <v>57</v>
      </c>
      <c r="D23" s="18" t="str">
        <f t="shared" si="0"/>
        <v>jul</v>
      </c>
      <c r="E23" s="5">
        <v>45845</v>
      </c>
      <c r="F23" s="6">
        <v>45873</v>
      </c>
      <c r="G23" s="7">
        <v>4</v>
      </c>
      <c r="H23" s="7">
        <v>436</v>
      </c>
      <c r="I23" s="7"/>
      <c r="J23" s="8">
        <v>7410.09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5179.5752771772786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2769.6711616793718</v>
      </c>
      <c r="M23" s="8">
        <f t="shared" si="1"/>
        <v>15359.336438856652</v>
      </c>
      <c r="N23" s="9">
        <f t="shared" si="2"/>
        <v>35.227835868937277</v>
      </c>
      <c r="O23" s="10"/>
      <c r="P23" s="3"/>
      <c r="Q23" s="3"/>
      <c r="R23" s="3"/>
      <c r="S23" s="8">
        <f t="shared" si="3"/>
        <v>0</v>
      </c>
      <c r="T23" s="7">
        <f t="shared" si="4"/>
        <v>436</v>
      </c>
      <c r="U23" s="3">
        <v>436</v>
      </c>
      <c r="V23" s="8">
        <f t="shared" si="5"/>
        <v>0</v>
      </c>
      <c r="W23" s="8"/>
      <c r="X23" s="11">
        <f t="shared" si="7"/>
        <v>15359.336438856653</v>
      </c>
    </row>
    <row r="24" spans="1:24" ht="15.5" x14ac:dyDescent="0.35">
      <c r="A24" s="1">
        <v>1085</v>
      </c>
      <c r="B24" s="2" t="s">
        <v>23</v>
      </c>
      <c r="C24" s="3" t="s">
        <v>49</v>
      </c>
      <c r="D24" s="18" t="str">
        <f t="shared" si="0"/>
        <v>jul</v>
      </c>
      <c r="E24" s="5">
        <v>45846</v>
      </c>
      <c r="F24" s="6">
        <v>45866</v>
      </c>
      <c r="G24" s="7">
        <v>3</v>
      </c>
      <c r="H24" s="7">
        <v>360</v>
      </c>
      <c r="I24" s="7"/>
      <c r="J24" s="8">
        <v>9805.2800000000007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3884.681457882959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2077.2533712595286</v>
      </c>
      <c r="M24" s="8">
        <f t="shared" si="1"/>
        <v>15767.214829142489</v>
      </c>
      <c r="N24" s="9">
        <f t="shared" si="2"/>
        <v>43.79781896984025</v>
      </c>
      <c r="O24" s="10">
        <v>60</v>
      </c>
      <c r="P24" s="3"/>
      <c r="Q24" s="3"/>
      <c r="R24" s="3"/>
      <c r="S24" s="8">
        <f t="shared" si="3"/>
        <v>2627.869138190415</v>
      </c>
      <c r="T24" s="7">
        <f t="shared" si="4"/>
        <v>300</v>
      </c>
      <c r="U24" s="3">
        <v>300</v>
      </c>
      <c r="V24" s="8">
        <f t="shared" si="5"/>
        <v>0</v>
      </c>
      <c r="W24" s="8"/>
      <c r="X24" s="11">
        <f t="shared" si="7"/>
        <v>13139.345690952076</v>
      </c>
    </row>
    <row r="25" spans="1:24" ht="15.5" x14ac:dyDescent="0.35">
      <c r="A25" s="1">
        <v>1086</v>
      </c>
      <c r="B25" s="2" t="s">
        <v>23</v>
      </c>
      <c r="C25" s="3" t="s">
        <v>35</v>
      </c>
      <c r="D25" s="18" t="str">
        <f t="shared" si="0"/>
        <v>jul</v>
      </c>
      <c r="E25" s="5">
        <v>45847</v>
      </c>
      <c r="F25" s="6">
        <v>45859</v>
      </c>
      <c r="G25" s="7">
        <v>8</v>
      </c>
      <c r="H25" s="7">
        <v>900</v>
      </c>
      <c r="I25" s="7"/>
      <c r="J25" s="8">
        <v>13943.52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10359.150554354557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5539.3423233587437</v>
      </c>
      <c r="M25" s="8">
        <f t="shared" si="1"/>
        <v>29842.0128777133</v>
      </c>
      <c r="N25" s="9">
        <f t="shared" si="2"/>
        <v>33.15779208634811</v>
      </c>
      <c r="O25" s="10">
        <v>318</v>
      </c>
      <c r="P25" s="3">
        <v>60</v>
      </c>
      <c r="Q25" s="3"/>
      <c r="R25" s="3">
        <v>40</v>
      </c>
      <c r="S25" s="8">
        <f t="shared" si="3"/>
        <v>13859.957092093509</v>
      </c>
      <c r="T25" s="7">
        <f t="shared" si="4"/>
        <v>482</v>
      </c>
      <c r="U25" s="3">
        <v>482</v>
      </c>
      <c r="V25" s="8">
        <f t="shared" si="5"/>
        <v>0</v>
      </c>
      <c r="W25" s="8"/>
      <c r="X25" s="11">
        <f t="shared" si="7"/>
        <v>15982.055785619788</v>
      </c>
    </row>
    <row r="26" spans="1:24" ht="15.5" x14ac:dyDescent="0.35">
      <c r="A26" s="1" t="s">
        <v>121</v>
      </c>
      <c r="B26" s="2" t="s">
        <v>29</v>
      </c>
      <c r="C26" s="3" t="s">
        <v>39</v>
      </c>
      <c r="D26" s="18" t="str">
        <f t="shared" si="0"/>
        <v>jul</v>
      </c>
      <c r="E26" s="5">
        <v>45847</v>
      </c>
      <c r="F26" s="6">
        <v>45860</v>
      </c>
      <c r="G26" s="7">
        <v>20</v>
      </c>
      <c r="H26" s="7">
        <v>2530</v>
      </c>
      <c r="I26" s="7"/>
      <c r="J26" s="8">
        <v>15327.86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15034.067213309565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13805.386264323912</v>
      </c>
      <c r="M26" s="8">
        <f t="shared" si="1"/>
        <v>44167.313477633477</v>
      </c>
      <c r="N26" s="9">
        <f t="shared" si="2"/>
        <v>17.457436157167383</v>
      </c>
      <c r="O26" s="10">
        <v>1080</v>
      </c>
      <c r="P26" s="3">
        <v>120</v>
      </c>
      <c r="Q26" s="3">
        <v>60</v>
      </c>
      <c r="R26" s="3">
        <v>160</v>
      </c>
      <c r="S26" s="8">
        <f t="shared" si="3"/>
        <v>24789.559343177683</v>
      </c>
      <c r="T26" s="7">
        <f t="shared" si="4"/>
        <v>1110</v>
      </c>
      <c r="U26" s="3">
        <v>1110</v>
      </c>
      <c r="V26" s="8">
        <f t="shared" si="5"/>
        <v>0</v>
      </c>
      <c r="W26" s="8"/>
      <c r="X26" s="11">
        <f t="shared" si="7"/>
        <v>19377.754134455794</v>
      </c>
    </row>
    <row r="27" spans="1:24" ht="15.5" x14ac:dyDescent="0.35">
      <c r="A27" s="1" t="s">
        <v>122</v>
      </c>
      <c r="B27" s="2" t="s">
        <v>29</v>
      </c>
      <c r="C27" s="3" t="s">
        <v>41</v>
      </c>
      <c r="D27" s="18" t="str">
        <f t="shared" si="0"/>
        <v>jul</v>
      </c>
      <c r="E27" s="5">
        <v>45854</v>
      </c>
      <c r="F27" s="6">
        <v>45870</v>
      </c>
      <c r="G27" s="7">
        <v>20</v>
      </c>
      <c r="H27" s="7">
        <v>2490</v>
      </c>
      <c r="I27" s="7"/>
      <c r="J27" s="8">
        <v>32301.39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15034.067213309565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13805.386264323912</v>
      </c>
      <c r="M27" s="8">
        <f t="shared" si="1"/>
        <v>61140.843477633476</v>
      </c>
      <c r="N27" s="9">
        <f t="shared" si="2"/>
        <v>24.554555613507421</v>
      </c>
      <c r="O27" s="10"/>
      <c r="P27" s="3"/>
      <c r="Q27" s="3"/>
      <c r="R27" s="3"/>
      <c r="S27" s="8">
        <f t="shared" si="3"/>
        <v>0</v>
      </c>
      <c r="T27" s="7">
        <f t="shared" si="4"/>
        <v>2490</v>
      </c>
      <c r="U27" s="3">
        <v>2490</v>
      </c>
      <c r="V27" s="8">
        <f t="shared" si="5"/>
        <v>0</v>
      </c>
      <c r="W27" s="8"/>
      <c r="X27" s="11">
        <f t="shared" si="7"/>
        <v>61140.843477633476</v>
      </c>
    </row>
    <row r="28" spans="1:24" ht="15.5" x14ac:dyDescent="0.35">
      <c r="A28" s="1">
        <v>1087</v>
      </c>
      <c r="B28" s="2" t="s">
        <v>23</v>
      </c>
      <c r="C28" s="3" t="s">
        <v>53</v>
      </c>
      <c r="D28" s="18" t="str">
        <f t="shared" si="0"/>
        <v>jul</v>
      </c>
      <c r="E28" s="5">
        <v>45855</v>
      </c>
      <c r="F28" s="6">
        <v>45880</v>
      </c>
      <c r="G28" s="7">
        <v>3</v>
      </c>
      <c r="H28" s="7">
        <v>329</v>
      </c>
      <c r="I28" s="7"/>
      <c r="J28" s="8">
        <v>7615.93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3884.681457882959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2077.2533712595286</v>
      </c>
      <c r="M28" s="8">
        <f t="shared" si="1"/>
        <v>13577.864829142487</v>
      </c>
      <c r="N28" s="9">
        <f t="shared" si="2"/>
        <v>41.270105863654976</v>
      </c>
      <c r="O28" s="10"/>
      <c r="P28" s="3"/>
      <c r="Q28" s="3"/>
      <c r="R28" s="3"/>
      <c r="S28" s="8">
        <f t="shared" si="3"/>
        <v>0</v>
      </c>
      <c r="T28" s="7">
        <f t="shared" si="4"/>
        <v>329</v>
      </c>
      <c r="U28" s="3">
        <v>329</v>
      </c>
      <c r="V28" s="8">
        <f t="shared" si="5"/>
        <v>0</v>
      </c>
      <c r="W28" s="8"/>
      <c r="X28" s="11">
        <f t="shared" si="7"/>
        <v>13577.864829142487</v>
      </c>
    </row>
    <row r="29" spans="1:24" ht="15.5" x14ac:dyDescent="0.35">
      <c r="A29" s="1">
        <v>1088</v>
      </c>
      <c r="B29" s="2" t="s">
        <v>23</v>
      </c>
      <c r="C29" s="3" t="s">
        <v>24</v>
      </c>
      <c r="D29" s="18" t="str">
        <f t="shared" si="0"/>
        <v>jul</v>
      </c>
      <c r="E29" s="5">
        <v>45862</v>
      </c>
      <c r="F29" s="6">
        <v>45874</v>
      </c>
      <c r="G29" s="7">
        <v>8</v>
      </c>
      <c r="H29" s="7">
        <v>865</v>
      </c>
      <c r="I29" s="7"/>
      <c r="J29" s="17">
        <v>20510.23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10359.150554354557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5539.3423233587437</v>
      </c>
      <c r="M29" s="8">
        <f t="shared" si="1"/>
        <v>36408.722877713299</v>
      </c>
      <c r="N29" s="9">
        <f t="shared" si="2"/>
        <v>42.091009107183005</v>
      </c>
      <c r="O29" s="10"/>
      <c r="P29" s="3"/>
      <c r="Q29" s="3"/>
      <c r="R29" s="3"/>
      <c r="S29" s="8">
        <f t="shared" si="3"/>
        <v>0</v>
      </c>
      <c r="T29" s="7">
        <f t="shared" si="4"/>
        <v>865</v>
      </c>
      <c r="U29" s="3">
        <v>865</v>
      </c>
      <c r="V29" s="8">
        <f t="shared" si="5"/>
        <v>0</v>
      </c>
      <c r="W29" s="8"/>
      <c r="X29" s="11">
        <f t="shared" si="7"/>
        <v>36408.722877713299</v>
      </c>
    </row>
    <row r="30" spans="1:24" ht="15.5" x14ac:dyDescent="0.35">
      <c r="A30" s="1" t="s">
        <v>123</v>
      </c>
      <c r="B30" s="2" t="s">
        <v>29</v>
      </c>
      <c r="C30" s="3" t="s">
        <v>34</v>
      </c>
      <c r="D30" s="18" t="str">
        <f t="shared" si="0"/>
        <v>jul</v>
      </c>
      <c r="E30" s="5">
        <v>45863</v>
      </c>
      <c r="F30" s="6">
        <v>45876</v>
      </c>
      <c r="G30" s="7">
        <v>40</v>
      </c>
      <c r="H30" s="7">
        <v>4540</v>
      </c>
      <c r="I30" s="7"/>
      <c r="J30" s="8">
        <v>88315.6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30068.13442661913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27610.772528647823</v>
      </c>
      <c r="M30" s="8">
        <f t="shared" si="1"/>
        <v>145994.50695526696</v>
      </c>
      <c r="N30" s="9">
        <f t="shared" si="2"/>
        <v>32.157380386622677</v>
      </c>
      <c r="O30" s="10"/>
      <c r="P30" s="3"/>
      <c r="Q30" s="3"/>
      <c r="R30" s="3"/>
      <c r="S30" s="8">
        <f t="shared" si="3"/>
        <v>0</v>
      </c>
      <c r="T30" s="7">
        <f t="shared" si="4"/>
        <v>4540</v>
      </c>
      <c r="U30" s="3">
        <v>4540</v>
      </c>
      <c r="V30" s="8">
        <f t="shared" si="5"/>
        <v>0</v>
      </c>
      <c r="W30" s="8"/>
      <c r="X30" s="11">
        <f t="shared" si="7"/>
        <v>145994.50695526696</v>
      </c>
    </row>
    <row r="31" spans="1:24" ht="15.5" x14ac:dyDescent="0.35">
      <c r="A31" s="1">
        <v>1089</v>
      </c>
      <c r="B31" s="2" t="s">
        <v>23</v>
      </c>
      <c r="C31" s="3" t="s">
        <v>40</v>
      </c>
      <c r="D31" s="18" t="str">
        <f t="shared" si="0"/>
        <v>jul</v>
      </c>
      <c r="E31" s="5">
        <v>45867</v>
      </c>
      <c r="F31" s="6">
        <v>45892</v>
      </c>
      <c r="G31" s="7">
        <v>3</v>
      </c>
      <c r="H31" s="7">
        <v>360</v>
      </c>
      <c r="I31" s="7"/>
      <c r="J31" s="8">
        <v>9463.89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3884.681457882959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2077.2533712595286</v>
      </c>
      <c r="M31" s="8">
        <f t="shared" si="1"/>
        <v>15425.824829142486</v>
      </c>
      <c r="N31" s="9">
        <f t="shared" si="2"/>
        <v>42.849513414284687</v>
      </c>
      <c r="O31" s="10"/>
      <c r="P31" s="3"/>
      <c r="Q31" s="3"/>
      <c r="R31" s="3"/>
      <c r="S31" s="8">
        <f t="shared" si="3"/>
        <v>0</v>
      </c>
      <c r="T31" s="7">
        <f t="shared" si="4"/>
        <v>360</v>
      </c>
      <c r="U31" s="3">
        <v>360</v>
      </c>
      <c r="V31" s="8">
        <f t="shared" si="5"/>
        <v>0</v>
      </c>
      <c r="W31" s="8"/>
      <c r="X31" s="11">
        <f t="shared" si="7"/>
        <v>15425.824829142488</v>
      </c>
    </row>
    <row r="32" spans="1:24" ht="15.5" x14ac:dyDescent="0.35">
      <c r="A32" s="1">
        <v>1090</v>
      </c>
      <c r="B32" s="2" t="s">
        <v>23</v>
      </c>
      <c r="C32" s="3" t="s">
        <v>87</v>
      </c>
      <c r="D32" s="18" t="str">
        <f t="shared" si="0"/>
        <v>jul</v>
      </c>
      <c r="E32" s="5">
        <v>45868</v>
      </c>
      <c r="F32" s="6">
        <v>45882</v>
      </c>
      <c r="G32" s="7">
        <v>3</v>
      </c>
      <c r="H32" s="7">
        <v>351</v>
      </c>
      <c r="I32" s="7"/>
      <c r="J32" s="8">
        <v>8545.7199999999993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3884.681457882959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2077.2533712595286</v>
      </c>
      <c r="M32" s="8">
        <f t="shared" si="1"/>
        <v>14507.654829142488</v>
      </c>
      <c r="N32" s="9">
        <f t="shared" si="2"/>
        <v>41.33234994057689</v>
      </c>
      <c r="O32" s="10"/>
      <c r="P32" s="3"/>
      <c r="Q32" s="3"/>
      <c r="R32" s="3"/>
      <c r="S32" s="8">
        <f t="shared" si="3"/>
        <v>0</v>
      </c>
      <c r="T32" s="7">
        <f t="shared" si="4"/>
        <v>351</v>
      </c>
      <c r="U32" s="3">
        <v>351</v>
      </c>
      <c r="V32" s="8">
        <f t="shared" si="5"/>
        <v>0</v>
      </c>
      <c r="W32" s="8"/>
      <c r="X32" s="11">
        <f t="shared" si="7"/>
        <v>14507.654829142488</v>
      </c>
    </row>
    <row r="33" spans="1:24" ht="15.5" x14ac:dyDescent="0.35">
      <c r="A33" s="1" t="s">
        <v>124</v>
      </c>
      <c r="B33" s="2" t="s">
        <v>29</v>
      </c>
      <c r="C33" s="3" t="s">
        <v>47</v>
      </c>
      <c r="D33" s="18" t="str">
        <f t="shared" si="0"/>
        <v>jul</v>
      </c>
      <c r="E33" s="5">
        <v>45869</v>
      </c>
      <c r="F33" s="6">
        <v>45885</v>
      </c>
      <c r="G33" s="7">
        <v>20</v>
      </c>
      <c r="H33" s="7">
        <v>2528</v>
      </c>
      <c r="I33" s="7"/>
      <c r="J33" s="8">
        <v>20524.349999999999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15034.067213309565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13805.386264323912</v>
      </c>
      <c r="M33" s="8">
        <f t="shared" si="1"/>
        <v>49363.803477633475</v>
      </c>
      <c r="N33" s="9">
        <f t="shared" si="2"/>
        <v>19.526820995899318</v>
      </c>
      <c r="O33" s="10"/>
      <c r="P33" s="3"/>
      <c r="Q33" s="3"/>
      <c r="R33" s="3"/>
      <c r="S33" s="8">
        <f t="shared" si="3"/>
        <v>0</v>
      </c>
      <c r="T33" s="7">
        <f t="shared" si="4"/>
        <v>2528</v>
      </c>
      <c r="U33" s="3">
        <v>2528</v>
      </c>
      <c r="V33" s="8">
        <f t="shared" si="5"/>
        <v>0</v>
      </c>
      <c r="W33" s="8"/>
      <c r="X33" s="11">
        <f t="shared" si="7"/>
        <v>49363.803477633475</v>
      </c>
    </row>
    <row r="34" spans="1:24" ht="15.5" x14ac:dyDescent="0.35">
      <c r="A34" s="1"/>
      <c r="B34" s="2"/>
      <c r="C34" s="3"/>
      <c r="D34" s="18" t="str">
        <f t="shared" si="0"/>
        <v>-</v>
      </c>
      <c r="E34" s="20"/>
      <c r="F34" s="7"/>
      <c r="G34" s="7"/>
      <c r="H34" s="7"/>
      <c r="I34" s="7"/>
      <c r="J34" s="8"/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0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0</v>
      </c>
      <c r="M34" s="8">
        <f t="shared" si="1"/>
        <v>0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7"/>
        <v>0</v>
      </c>
    </row>
    <row r="35" spans="1:24" ht="15.5" x14ac:dyDescent="0.35">
      <c r="A35" s="1"/>
      <c r="B35" s="2"/>
      <c r="C35" s="3"/>
      <c r="D35" s="18" t="str">
        <f t="shared" si="0"/>
        <v>-</v>
      </c>
      <c r="E35" s="20"/>
      <c r="F35" s="7"/>
      <c r="G35" s="7"/>
      <c r="H35" s="7"/>
      <c r="I35" s="7"/>
      <c r="J35" s="8"/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0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0</v>
      </c>
      <c r="M35" s="8">
        <f t="shared" si="1"/>
        <v>0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7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7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7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7"/>
        <v>0</v>
      </c>
    </row>
    <row r="40" spans="1:24" ht="15.75" customHeight="1" x14ac:dyDescent="0.25">
      <c r="F40" s="22"/>
      <c r="I40" s="22" t="s">
        <v>125</v>
      </c>
      <c r="J40" s="22">
        <f>SUMIF(D2:D38,I40,J2:J38)</f>
        <v>335261.03999999998</v>
      </c>
      <c r="K40" s="22">
        <v>335261.03999999998</v>
      </c>
      <c r="M40" s="22">
        <f>SUMIF(D2:D38,I40,M2:M38)</f>
        <v>630540.86</v>
      </c>
      <c r="N40" s="22"/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8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9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112</v>
      </c>
      <c r="M43" s="21" t="s">
        <v>118</v>
      </c>
      <c r="N43" s="21" t="s">
        <v>102</v>
      </c>
      <c r="O43" s="21" t="s">
        <v>70</v>
      </c>
      <c r="P43" s="21"/>
      <c r="Q43" s="21"/>
      <c r="R43" s="21" t="s">
        <v>71</v>
      </c>
      <c r="S43" s="21">
        <f t="shared" si="8"/>
        <v>3772.4869565217391</v>
      </c>
      <c r="T43" s="21" t="s">
        <v>72</v>
      </c>
      <c r="U43" s="21">
        <v>460</v>
      </c>
      <c r="V43" s="21">
        <v>8676.7199999999993</v>
      </c>
      <c r="W43" s="21">
        <f t="shared" si="9"/>
        <v>18.862434782608695</v>
      </c>
      <c r="X43" s="21">
        <f>ROUND(W43*150,2)</f>
        <v>2829.37</v>
      </c>
    </row>
    <row r="44" spans="1:24" ht="15.75" customHeight="1" x14ac:dyDescent="0.25">
      <c r="D44" s="22"/>
      <c r="E44" s="22">
        <v>7768.17</v>
      </c>
      <c r="F44" s="21" t="s">
        <v>104</v>
      </c>
      <c r="G44" s="21">
        <f t="shared" ref="G44:G48" si="10">SUM(I44:R44)</f>
        <v>1900</v>
      </c>
      <c r="H44" s="22">
        <f>G44+J22</f>
        <v>9668.17</v>
      </c>
      <c r="I44" s="24"/>
      <c r="J44" s="24"/>
      <c r="K44" s="24"/>
      <c r="L44" s="24"/>
      <c r="M44" s="24"/>
      <c r="N44" s="24"/>
      <c r="O44" s="24">
        <v>1800</v>
      </c>
      <c r="P44" s="24"/>
      <c r="Q44" s="24"/>
      <c r="R44" s="24">
        <v>100</v>
      </c>
      <c r="S44" s="21">
        <f>ROUND(S43+S42,2)</f>
        <v>5655.69</v>
      </c>
    </row>
    <row r="45" spans="1:24" ht="15.75" customHeight="1" x14ac:dyDescent="0.25">
      <c r="D45" s="22"/>
      <c r="E45" s="22">
        <v>20510.23</v>
      </c>
      <c r="F45" s="21" t="s">
        <v>24</v>
      </c>
      <c r="G45" s="21">
        <f t="shared" si="10"/>
        <v>8775.6899999999987</v>
      </c>
      <c r="H45" s="22">
        <f>G45+J29</f>
        <v>29285.919999999998</v>
      </c>
      <c r="I45" s="24">
        <f>15*18</f>
        <v>270</v>
      </c>
      <c r="J45" s="24">
        <v>5655.69</v>
      </c>
      <c r="K45" s="24">
        <v>2750</v>
      </c>
      <c r="L45" s="24"/>
      <c r="M45" s="24"/>
      <c r="N45" s="24"/>
      <c r="O45" s="24"/>
      <c r="P45" s="24"/>
      <c r="Q45" s="24"/>
      <c r="R45" s="24">
        <v>100</v>
      </c>
      <c r="S45" s="21">
        <f>S44/2</f>
        <v>2827.8449999999998</v>
      </c>
    </row>
    <row r="46" spans="1:24" ht="15.75" customHeight="1" x14ac:dyDescent="0.25">
      <c r="D46" s="22"/>
      <c r="E46" s="22"/>
      <c r="G46" s="21">
        <f t="shared" si="10"/>
        <v>0</v>
      </c>
      <c r="H46" s="22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24" ht="15.75" customHeight="1" x14ac:dyDescent="0.25">
      <c r="D47" s="22"/>
      <c r="E47" s="22"/>
      <c r="G47" s="21">
        <f t="shared" si="10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24" ht="15.75" customHeight="1" x14ac:dyDescent="0.25">
      <c r="D48" s="22"/>
      <c r="E48" s="22"/>
      <c r="G48" s="21">
        <f t="shared" si="10"/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51" spans="3:10" ht="15.75" customHeight="1" x14ac:dyDescent="0.25">
      <c r="J51" s="22"/>
    </row>
    <row r="55" spans="3:10" ht="15.75" customHeight="1" x14ac:dyDescent="0.25">
      <c r="C55" s="26"/>
    </row>
  </sheetData>
  <conditionalFormatting sqref="N2:N38">
    <cfRule type="cellIs" dxfId="9" priority="1" operator="greaterThan">
      <formula>60</formula>
    </cfRule>
    <cfRule type="cellIs" dxfId="8" priority="2" operator="greaterThan">
      <formula>45</formula>
    </cfRule>
  </conditionalFormatting>
  <dataValidations count="1">
    <dataValidation type="list" allowBlank="1" showErrorMessage="1" sqref="B2:B38" xr:uid="{00000000-0002-0000-06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55"/>
  <sheetViews>
    <sheetView workbookViewId="0">
      <pane xSplit="3" topLeftCell="I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>
        <v>1075</v>
      </c>
      <c r="B2" s="2" t="s">
        <v>23</v>
      </c>
      <c r="C2" s="3" t="s">
        <v>56</v>
      </c>
      <c r="D2" s="18" t="str">
        <f t="shared" ref="D2:D38" si="0">IF(E2="","-",(TEXT(E2,"MMM")))</f>
        <v>jun</v>
      </c>
      <c r="E2" s="5">
        <v>45819</v>
      </c>
      <c r="F2" s="6">
        <v>45836</v>
      </c>
      <c r="G2" s="7">
        <v>6</v>
      </c>
      <c r="H2" s="7">
        <v>700</v>
      </c>
      <c r="I2" s="3">
        <v>30</v>
      </c>
      <c r="J2" s="8">
        <v>19317.23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14051.742922025651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5724.9815574650911</v>
      </c>
      <c r="M2" s="8">
        <f t="shared" ref="M2:M38" si="1">J2+K2+L2</f>
        <v>39093.954479490742</v>
      </c>
      <c r="N2" s="9">
        <f t="shared" ref="N2:N38" si="2">IF(H2&gt;0,M2/H2,"N/A")</f>
        <v>55.848506399272487</v>
      </c>
      <c r="O2" s="10"/>
      <c r="P2" s="3"/>
      <c r="Q2" s="3"/>
      <c r="R2" s="3">
        <v>30</v>
      </c>
      <c r="S2" s="8">
        <f t="shared" ref="S2:S38" si="3">IF(N2="N/A",0,(O2+P2+Q2+R2)*N2)</f>
        <v>1675.4551919781745</v>
      </c>
      <c r="T2" s="7">
        <f t="shared" ref="T2:T38" si="4">IF(I2=0,H2-O2-P2-Q2-R2,I2-O2-P2-Q2-R2)</f>
        <v>0</v>
      </c>
      <c r="U2" s="3">
        <v>0</v>
      </c>
      <c r="V2" s="8">
        <f t="shared" ref="V2:V38" si="5">IF(N2="N/A",0,((T2-U2)*N2)-W2)</f>
        <v>0</v>
      </c>
      <c r="W2" s="8"/>
      <c r="X2" s="11">
        <f t="shared" ref="X2:X38" si="6">IF(N2="N/A",0,U2*N2)</f>
        <v>0</v>
      </c>
    </row>
    <row r="3" spans="1:24" ht="15.5" x14ac:dyDescent="0.35">
      <c r="A3" s="1">
        <v>1077</v>
      </c>
      <c r="B3" s="2" t="s">
        <v>23</v>
      </c>
      <c r="C3" s="3" t="s">
        <v>56</v>
      </c>
      <c r="D3" s="18" t="str">
        <f t="shared" si="0"/>
        <v>jun</v>
      </c>
      <c r="E3" s="5">
        <v>45825</v>
      </c>
      <c r="F3" s="6">
        <v>45845</v>
      </c>
      <c r="G3" s="7">
        <v>3</v>
      </c>
      <c r="H3" s="7">
        <v>355</v>
      </c>
      <c r="I3" s="3">
        <v>20</v>
      </c>
      <c r="J3" s="8">
        <v>11160.27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7025.8714610128254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2862.4907787325456</v>
      </c>
      <c r="M3" s="8">
        <f t="shared" si="1"/>
        <v>21048.632239745373</v>
      </c>
      <c r="N3" s="9">
        <f t="shared" si="2"/>
        <v>59.291921802099644</v>
      </c>
      <c r="O3" s="10"/>
      <c r="P3" s="3"/>
      <c r="Q3" s="3"/>
      <c r="R3" s="3">
        <v>20</v>
      </c>
      <c r="S3" s="8">
        <f t="shared" si="3"/>
        <v>1185.838436041993</v>
      </c>
      <c r="T3" s="7">
        <f t="shared" si="4"/>
        <v>0</v>
      </c>
      <c r="U3" s="3">
        <v>0</v>
      </c>
      <c r="V3" s="8">
        <f t="shared" si="5"/>
        <v>0</v>
      </c>
      <c r="W3" s="8"/>
      <c r="X3" s="11">
        <f t="shared" si="6"/>
        <v>0</v>
      </c>
    </row>
    <row r="4" spans="1:24" ht="15.5" x14ac:dyDescent="0.35">
      <c r="A4" s="1">
        <v>1079</v>
      </c>
      <c r="B4" s="2" t="s">
        <v>23</v>
      </c>
      <c r="C4" s="3" t="s">
        <v>24</v>
      </c>
      <c r="D4" s="18" t="str">
        <f t="shared" si="0"/>
        <v>jun</v>
      </c>
      <c r="E4" s="5">
        <v>45833</v>
      </c>
      <c r="F4" s="6">
        <v>45846</v>
      </c>
      <c r="G4" s="7">
        <v>8</v>
      </c>
      <c r="H4" s="7">
        <v>873</v>
      </c>
      <c r="I4" s="3">
        <v>20</v>
      </c>
      <c r="J4" s="8">
        <v>20240.29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18735.657229367534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7633.3087432867878</v>
      </c>
      <c r="M4" s="8">
        <f t="shared" si="1"/>
        <v>46609.255972654326</v>
      </c>
      <c r="N4" s="9">
        <f t="shared" si="2"/>
        <v>53.389754836946537</v>
      </c>
      <c r="O4" s="10"/>
      <c r="P4" s="3"/>
      <c r="Q4" s="3"/>
      <c r="R4" s="3">
        <v>20</v>
      </c>
      <c r="S4" s="8">
        <f t="shared" si="3"/>
        <v>1067.7950967389306</v>
      </c>
      <c r="T4" s="7">
        <f t="shared" si="4"/>
        <v>0</v>
      </c>
      <c r="U4" s="3">
        <v>0</v>
      </c>
      <c r="V4" s="8">
        <f t="shared" si="5"/>
        <v>0</v>
      </c>
      <c r="W4" s="8"/>
      <c r="X4" s="11">
        <f t="shared" si="6"/>
        <v>0</v>
      </c>
    </row>
    <row r="5" spans="1:24" ht="15.5" x14ac:dyDescent="0.35">
      <c r="A5" s="1" t="s">
        <v>116</v>
      </c>
      <c r="B5" s="2" t="s">
        <v>29</v>
      </c>
      <c r="C5" s="3" t="s">
        <v>47</v>
      </c>
      <c r="D5" s="18" t="str">
        <f t="shared" si="0"/>
        <v>jun</v>
      </c>
      <c r="E5" s="5">
        <v>45833</v>
      </c>
      <c r="F5" s="6">
        <v>45850</v>
      </c>
      <c r="G5" s="7">
        <v>20</v>
      </c>
      <c r="H5" s="7">
        <v>2530</v>
      </c>
      <c r="I5" s="3">
        <v>1030</v>
      </c>
      <c r="J5" s="8">
        <v>21327.1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27668.783820168068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26057.067823129251</v>
      </c>
      <c r="M5" s="8">
        <f t="shared" si="1"/>
        <v>75052.951643297318</v>
      </c>
      <c r="N5" s="9">
        <f t="shared" si="2"/>
        <v>29.66519827798313</v>
      </c>
      <c r="O5" s="10">
        <v>643</v>
      </c>
      <c r="P5" s="3">
        <v>240</v>
      </c>
      <c r="Q5" s="3"/>
      <c r="R5" s="3">
        <f>140+50</f>
        <v>190</v>
      </c>
      <c r="S5" s="8">
        <f t="shared" si="3"/>
        <v>31830.757752275898</v>
      </c>
      <c r="T5" s="37">
        <f t="shared" si="4"/>
        <v>-43</v>
      </c>
      <c r="U5" s="3">
        <v>0</v>
      </c>
      <c r="V5" s="8">
        <f t="shared" si="5"/>
        <v>-1275.6035259532746</v>
      </c>
      <c r="W5" s="8"/>
      <c r="X5" s="11">
        <f t="shared" si="6"/>
        <v>0</v>
      </c>
    </row>
    <row r="6" spans="1:24" ht="15.5" x14ac:dyDescent="0.35">
      <c r="A6" s="1">
        <v>1080</v>
      </c>
      <c r="B6" s="2" t="s">
        <v>23</v>
      </c>
      <c r="C6" s="3" t="s">
        <v>106</v>
      </c>
      <c r="D6" s="18" t="str">
        <f t="shared" si="0"/>
        <v>jun</v>
      </c>
      <c r="E6" s="5">
        <v>45835</v>
      </c>
      <c r="F6" s="6">
        <v>45852</v>
      </c>
      <c r="G6" s="7">
        <v>3</v>
      </c>
      <c r="H6" s="7">
        <v>360</v>
      </c>
      <c r="I6" s="3">
        <v>61</v>
      </c>
      <c r="J6" s="8">
        <v>10685.9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7025.8714610128254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2862.4907787325456</v>
      </c>
      <c r="M6" s="8">
        <f t="shared" si="1"/>
        <v>20574.262239745371</v>
      </c>
      <c r="N6" s="9">
        <f t="shared" si="2"/>
        <v>57.150728443737144</v>
      </c>
      <c r="O6" s="10">
        <v>60</v>
      </c>
      <c r="P6" s="3"/>
      <c r="Q6" s="3"/>
      <c r="R6" s="3"/>
      <c r="S6" s="8">
        <f t="shared" si="3"/>
        <v>3429.0437066242284</v>
      </c>
      <c r="T6" s="7">
        <f t="shared" si="4"/>
        <v>1</v>
      </c>
      <c r="U6" s="3">
        <v>0</v>
      </c>
      <c r="V6" s="8">
        <f t="shared" si="5"/>
        <v>57.150728443737144</v>
      </c>
      <c r="W6" s="8"/>
      <c r="X6" s="11">
        <f t="shared" si="6"/>
        <v>0</v>
      </c>
    </row>
    <row r="7" spans="1:24" ht="15.5" x14ac:dyDescent="0.35">
      <c r="A7" s="1">
        <v>1081</v>
      </c>
      <c r="B7" s="2" t="s">
        <v>23</v>
      </c>
      <c r="C7" s="3" t="s">
        <v>83</v>
      </c>
      <c r="D7" s="18" t="str">
        <f t="shared" si="0"/>
        <v>jul</v>
      </c>
      <c r="E7" s="5">
        <v>45840</v>
      </c>
      <c r="F7" s="6">
        <v>45864</v>
      </c>
      <c r="G7" s="7">
        <v>8</v>
      </c>
      <c r="H7" s="7">
        <v>900</v>
      </c>
      <c r="I7" s="3">
        <v>740</v>
      </c>
      <c r="J7" s="8">
        <v>15255.24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10359.150554354557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5539.3423233587437</v>
      </c>
      <c r="M7" s="8">
        <f t="shared" si="1"/>
        <v>31153.732877713301</v>
      </c>
      <c r="N7" s="9">
        <f t="shared" si="2"/>
        <v>34.615258753014778</v>
      </c>
      <c r="O7" s="10">
        <f>365+180+120</f>
        <v>665</v>
      </c>
      <c r="P7" s="3"/>
      <c r="Q7" s="3">
        <v>30</v>
      </c>
      <c r="R7" s="3">
        <v>40</v>
      </c>
      <c r="S7" s="8">
        <f t="shared" si="3"/>
        <v>25442.215183465862</v>
      </c>
      <c r="T7" s="7">
        <f t="shared" si="4"/>
        <v>5</v>
      </c>
      <c r="U7" s="3">
        <v>0</v>
      </c>
      <c r="V7" s="8">
        <f t="shared" si="5"/>
        <v>173.0762937650739</v>
      </c>
      <c r="W7" s="8"/>
      <c r="X7" s="11">
        <f t="shared" si="6"/>
        <v>0</v>
      </c>
    </row>
    <row r="8" spans="1:24" ht="15.5" x14ac:dyDescent="0.35">
      <c r="A8" s="1" t="s">
        <v>120</v>
      </c>
      <c r="B8" s="2" t="s">
        <v>29</v>
      </c>
      <c r="C8" s="3" t="s">
        <v>34</v>
      </c>
      <c r="D8" s="18" t="str">
        <f t="shared" si="0"/>
        <v>jul</v>
      </c>
      <c r="E8" s="5">
        <v>45841</v>
      </c>
      <c r="F8" s="6">
        <v>45855</v>
      </c>
      <c r="G8" s="7">
        <v>40</v>
      </c>
      <c r="H8" s="7">
        <v>3955</v>
      </c>
      <c r="I8" s="3">
        <v>303</v>
      </c>
      <c r="J8" s="8">
        <v>71277.34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30068.13442661913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27610.772528647823</v>
      </c>
      <c r="M8" s="8">
        <f t="shared" si="1"/>
        <v>128956.24695526695</v>
      </c>
      <c r="N8" s="9">
        <f t="shared" si="2"/>
        <v>32.605877864795687</v>
      </c>
      <c r="O8" s="10">
        <v>183</v>
      </c>
      <c r="P8" s="3">
        <v>120</v>
      </c>
      <c r="Q8" s="3"/>
      <c r="R8" s="3"/>
      <c r="S8" s="8">
        <f t="shared" si="3"/>
        <v>9879.5809930330925</v>
      </c>
      <c r="T8" s="7">
        <f t="shared" si="4"/>
        <v>0</v>
      </c>
      <c r="U8" s="3">
        <v>0</v>
      </c>
      <c r="V8" s="8">
        <f t="shared" si="5"/>
        <v>0</v>
      </c>
      <c r="W8" s="8"/>
      <c r="X8" s="11">
        <f t="shared" si="6"/>
        <v>0</v>
      </c>
    </row>
    <row r="9" spans="1:24" ht="15.5" x14ac:dyDescent="0.35">
      <c r="A9" s="1">
        <v>1082</v>
      </c>
      <c r="B9" s="2" t="s">
        <v>23</v>
      </c>
      <c r="C9" s="3" t="s">
        <v>52</v>
      </c>
      <c r="D9" s="18" t="str">
        <f t="shared" si="0"/>
        <v>jul</v>
      </c>
      <c r="E9" s="5">
        <v>45841</v>
      </c>
      <c r="F9" s="6">
        <v>45871</v>
      </c>
      <c r="G9" s="7">
        <v>4</v>
      </c>
      <c r="H9" s="7">
        <v>424</v>
      </c>
      <c r="I9" s="3">
        <v>424</v>
      </c>
      <c r="J9" s="8">
        <v>7196.43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5179.5752771772786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2769.6711616793718</v>
      </c>
      <c r="M9" s="8">
        <f t="shared" si="1"/>
        <v>15145.676438856652</v>
      </c>
      <c r="N9" s="9">
        <f t="shared" si="2"/>
        <v>35.720934997303424</v>
      </c>
      <c r="O9" s="10">
        <f>120+98</f>
        <v>218</v>
      </c>
      <c r="P9" s="3">
        <f>60+124</f>
        <v>184</v>
      </c>
      <c r="Q9" s="3"/>
      <c r="R9" s="3">
        <v>20</v>
      </c>
      <c r="S9" s="8">
        <f t="shared" si="3"/>
        <v>15074.234568862044</v>
      </c>
      <c r="T9" s="7">
        <f t="shared" si="4"/>
        <v>2</v>
      </c>
      <c r="U9" s="3">
        <v>0</v>
      </c>
      <c r="V9" s="8">
        <f t="shared" si="5"/>
        <v>71.441869994606847</v>
      </c>
      <c r="W9" s="8"/>
      <c r="X9" s="11">
        <f t="shared" si="6"/>
        <v>0</v>
      </c>
    </row>
    <row r="10" spans="1:24" ht="15.5" x14ac:dyDescent="0.35">
      <c r="A10" s="1">
        <v>1083</v>
      </c>
      <c r="B10" s="2" t="s">
        <v>23</v>
      </c>
      <c r="C10" s="3" t="s">
        <v>31</v>
      </c>
      <c r="D10" s="18" t="str">
        <f t="shared" si="0"/>
        <v>jul</v>
      </c>
      <c r="E10" s="5">
        <v>45842</v>
      </c>
      <c r="F10" s="6">
        <v>45864</v>
      </c>
      <c r="G10" s="7">
        <v>3</v>
      </c>
      <c r="H10" s="7">
        <v>390</v>
      </c>
      <c r="I10" s="3">
        <v>210</v>
      </c>
      <c r="J10" s="8">
        <v>7768.17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3884.681457882959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2077.2533712595286</v>
      </c>
      <c r="M10" s="8">
        <f t="shared" si="1"/>
        <v>13730.104829142489</v>
      </c>
      <c r="N10" s="9">
        <f t="shared" si="2"/>
        <v>35.205396997801252</v>
      </c>
      <c r="O10" s="10">
        <f>120+60</f>
        <v>180</v>
      </c>
      <c r="P10" s="3"/>
      <c r="Q10" s="3">
        <v>30</v>
      </c>
      <c r="R10" s="3"/>
      <c r="S10" s="8">
        <f t="shared" si="3"/>
        <v>7393.1333695382627</v>
      </c>
      <c r="T10" s="7">
        <f t="shared" si="4"/>
        <v>0</v>
      </c>
      <c r="U10" s="3">
        <v>0</v>
      </c>
      <c r="V10" s="8">
        <f t="shared" si="5"/>
        <v>0</v>
      </c>
      <c r="W10" s="8"/>
      <c r="X10" s="11">
        <f t="shared" si="6"/>
        <v>0</v>
      </c>
    </row>
    <row r="11" spans="1:24" ht="15.5" x14ac:dyDescent="0.35">
      <c r="A11" s="1">
        <v>1084</v>
      </c>
      <c r="B11" s="2" t="s">
        <v>23</v>
      </c>
      <c r="C11" s="3" t="s">
        <v>57</v>
      </c>
      <c r="D11" s="18" t="str">
        <f t="shared" si="0"/>
        <v>jul</v>
      </c>
      <c r="E11" s="5">
        <v>45845</v>
      </c>
      <c r="F11" s="6">
        <v>45873</v>
      </c>
      <c r="G11" s="7">
        <v>4</v>
      </c>
      <c r="H11" s="7">
        <v>436</v>
      </c>
      <c r="I11" s="3">
        <v>436</v>
      </c>
      <c r="J11" s="8">
        <v>7410.09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5179.5752771772786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2769.6711616793718</v>
      </c>
      <c r="M11" s="8">
        <f t="shared" si="1"/>
        <v>15359.336438856652</v>
      </c>
      <c r="N11" s="9">
        <f t="shared" si="2"/>
        <v>35.227835868937277</v>
      </c>
      <c r="O11" s="10">
        <f>120+136</f>
        <v>256</v>
      </c>
      <c r="P11" s="3">
        <f>60+60</f>
        <v>120</v>
      </c>
      <c r="Q11" s="3"/>
      <c r="R11" s="3"/>
      <c r="S11" s="8">
        <f t="shared" si="3"/>
        <v>13245.666286720416</v>
      </c>
      <c r="T11" s="7">
        <f t="shared" si="4"/>
        <v>60</v>
      </c>
      <c r="U11" s="3">
        <v>60</v>
      </c>
      <c r="V11" s="8">
        <f t="shared" si="5"/>
        <v>0</v>
      </c>
      <c r="W11" s="8"/>
      <c r="X11" s="11">
        <f t="shared" si="6"/>
        <v>2113.6701521362365</v>
      </c>
    </row>
    <row r="12" spans="1:24" ht="15.5" x14ac:dyDescent="0.35">
      <c r="A12" s="1">
        <v>1085</v>
      </c>
      <c r="B12" s="2" t="s">
        <v>23</v>
      </c>
      <c r="C12" s="3" t="s">
        <v>49</v>
      </c>
      <c r="D12" s="18" t="str">
        <f t="shared" si="0"/>
        <v>jul</v>
      </c>
      <c r="E12" s="5">
        <v>45846</v>
      </c>
      <c r="F12" s="6">
        <v>45866</v>
      </c>
      <c r="G12" s="7">
        <v>3</v>
      </c>
      <c r="H12" s="7">
        <v>360</v>
      </c>
      <c r="I12" s="3">
        <v>300</v>
      </c>
      <c r="J12" s="8">
        <v>9805.2800000000007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3884.681457882959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2077.2533712595286</v>
      </c>
      <c r="M12" s="8">
        <f t="shared" si="1"/>
        <v>15767.214829142489</v>
      </c>
      <c r="N12" s="9">
        <f t="shared" si="2"/>
        <v>43.79781896984025</v>
      </c>
      <c r="O12" s="10">
        <f>180</f>
        <v>180</v>
      </c>
      <c r="P12" s="3">
        <v>120</v>
      </c>
      <c r="Q12" s="3"/>
      <c r="R12" s="3"/>
      <c r="S12" s="8">
        <f t="shared" si="3"/>
        <v>13139.345690952076</v>
      </c>
      <c r="T12" s="7">
        <f t="shared" si="4"/>
        <v>0</v>
      </c>
      <c r="U12" s="3">
        <v>0</v>
      </c>
      <c r="V12" s="8">
        <f t="shared" si="5"/>
        <v>0</v>
      </c>
      <c r="W12" s="8"/>
      <c r="X12" s="11">
        <f t="shared" si="6"/>
        <v>0</v>
      </c>
    </row>
    <row r="13" spans="1:24" ht="15.5" x14ac:dyDescent="0.35">
      <c r="A13" s="1">
        <v>1086</v>
      </c>
      <c r="B13" s="2" t="s">
        <v>23</v>
      </c>
      <c r="C13" s="3" t="s">
        <v>35</v>
      </c>
      <c r="D13" s="18" t="str">
        <f t="shared" si="0"/>
        <v>jul</v>
      </c>
      <c r="E13" s="5">
        <v>45847</v>
      </c>
      <c r="F13" s="6">
        <v>45859</v>
      </c>
      <c r="G13" s="7">
        <v>8</v>
      </c>
      <c r="H13" s="7">
        <v>900</v>
      </c>
      <c r="I13" s="3">
        <v>482</v>
      </c>
      <c r="J13" s="8">
        <v>13943.52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10359.150554354557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5539.3423233587437</v>
      </c>
      <c r="M13" s="8">
        <f t="shared" si="1"/>
        <v>29842.0128777133</v>
      </c>
      <c r="N13" s="9">
        <f t="shared" si="2"/>
        <v>33.15779208634811</v>
      </c>
      <c r="O13" s="10">
        <v>258</v>
      </c>
      <c r="P13" s="3">
        <v>120</v>
      </c>
      <c r="Q13" s="3">
        <v>20</v>
      </c>
      <c r="R13" s="3">
        <v>80</v>
      </c>
      <c r="S13" s="8">
        <f t="shared" si="3"/>
        <v>15849.424617274397</v>
      </c>
      <c r="T13" s="7">
        <f t="shared" si="4"/>
        <v>4</v>
      </c>
      <c r="U13" s="3">
        <v>0</v>
      </c>
      <c r="V13" s="8">
        <f t="shared" si="5"/>
        <v>132.63116834539244</v>
      </c>
      <c r="W13" s="8"/>
      <c r="X13" s="11">
        <f t="shared" si="6"/>
        <v>0</v>
      </c>
    </row>
    <row r="14" spans="1:24" ht="15.5" x14ac:dyDescent="0.35">
      <c r="A14" s="1" t="s">
        <v>121</v>
      </c>
      <c r="B14" s="2" t="s">
        <v>29</v>
      </c>
      <c r="C14" s="3" t="s">
        <v>39</v>
      </c>
      <c r="D14" s="18" t="str">
        <f t="shared" si="0"/>
        <v>jul</v>
      </c>
      <c r="E14" s="5">
        <v>45847</v>
      </c>
      <c r="F14" s="6">
        <v>45860</v>
      </c>
      <c r="G14" s="7">
        <v>20</v>
      </c>
      <c r="H14" s="7">
        <v>2530</v>
      </c>
      <c r="I14" s="3">
        <v>1110</v>
      </c>
      <c r="J14" s="8">
        <v>15327.86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15034.067213309565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13805.386264323912</v>
      </c>
      <c r="M14" s="8">
        <f t="shared" si="1"/>
        <v>44167.313477633477</v>
      </c>
      <c r="N14" s="9">
        <f t="shared" si="2"/>
        <v>17.457436157167383</v>
      </c>
      <c r="O14" s="10">
        <v>761</v>
      </c>
      <c r="P14" s="3">
        <v>240</v>
      </c>
      <c r="Q14" s="3"/>
      <c r="R14" s="3">
        <v>190</v>
      </c>
      <c r="S14" s="8">
        <f t="shared" si="3"/>
        <v>20791.806463186353</v>
      </c>
      <c r="T14" s="28">
        <f t="shared" si="4"/>
        <v>-81</v>
      </c>
      <c r="U14" s="3">
        <v>0</v>
      </c>
      <c r="V14" s="8">
        <f t="shared" si="5"/>
        <v>-1414.052328730558</v>
      </c>
      <c r="W14" s="8"/>
      <c r="X14" s="11">
        <f t="shared" si="6"/>
        <v>0</v>
      </c>
    </row>
    <row r="15" spans="1:24" ht="15.5" x14ac:dyDescent="0.35">
      <c r="A15" s="1" t="s">
        <v>122</v>
      </c>
      <c r="B15" s="2" t="s">
        <v>29</v>
      </c>
      <c r="C15" s="3" t="s">
        <v>41</v>
      </c>
      <c r="D15" s="18" t="str">
        <f t="shared" si="0"/>
        <v>jul</v>
      </c>
      <c r="E15" s="5">
        <v>45854</v>
      </c>
      <c r="F15" s="6">
        <v>45870</v>
      </c>
      <c r="G15" s="7">
        <v>20</v>
      </c>
      <c r="H15" s="7">
        <v>2490</v>
      </c>
      <c r="I15" s="3">
        <v>2490</v>
      </c>
      <c r="J15" s="8">
        <v>32301.39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15034.067213309565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13805.386264323912</v>
      </c>
      <c r="M15" s="8">
        <f t="shared" si="1"/>
        <v>61140.843477633476</v>
      </c>
      <c r="N15" s="9">
        <f t="shared" si="2"/>
        <v>24.554555613507421</v>
      </c>
      <c r="O15" s="10">
        <f>837+864</f>
        <v>1701</v>
      </c>
      <c r="P15" s="3">
        <f>120+360</f>
        <v>480</v>
      </c>
      <c r="Q15" s="3">
        <v>60</v>
      </c>
      <c r="R15" s="3">
        <v>160</v>
      </c>
      <c r="S15" s="8">
        <f t="shared" si="3"/>
        <v>58955.488028031315</v>
      </c>
      <c r="T15" s="7">
        <f t="shared" si="4"/>
        <v>89</v>
      </c>
      <c r="U15" s="3">
        <v>89</v>
      </c>
      <c r="V15" s="8">
        <f t="shared" si="5"/>
        <v>0</v>
      </c>
      <c r="W15" s="8"/>
      <c r="X15" s="11">
        <f t="shared" si="6"/>
        <v>2185.3554496021607</v>
      </c>
    </row>
    <row r="16" spans="1:24" ht="15.5" x14ac:dyDescent="0.35">
      <c r="A16" s="1">
        <v>1087</v>
      </c>
      <c r="B16" s="2" t="s">
        <v>23</v>
      </c>
      <c r="C16" s="3" t="s">
        <v>53</v>
      </c>
      <c r="D16" s="18" t="str">
        <f t="shared" si="0"/>
        <v>jul</v>
      </c>
      <c r="E16" s="5">
        <v>45855</v>
      </c>
      <c r="F16" s="6">
        <v>45880</v>
      </c>
      <c r="G16" s="7">
        <v>3</v>
      </c>
      <c r="H16" s="7">
        <v>329</v>
      </c>
      <c r="I16" s="3">
        <v>329</v>
      </c>
      <c r="J16" s="8">
        <v>7615.93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3884.681457882959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2077.2533712595286</v>
      </c>
      <c r="M16" s="8">
        <f t="shared" si="1"/>
        <v>13577.864829142487</v>
      </c>
      <c r="N16" s="9">
        <f t="shared" si="2"/>
        <v>41.270105863654976</v>
      </c>
      <c r="O16" s="10">
        <f>60+116</f>
        <v>176</v>
      </c>
      <c r="P16" s="3">
        <f>89</f>
        <v>89</v>
      </c>
      <c r="Q16" s="3"/>
      <c r="R16" s="3">
        <v>60</v>
      </c>
      <c r="S16" s="8">
        <f t="shared" si="3"/>
        <v>13412.784405687868</v>
      </c>
      <c r="T16" s="7">
        <f t="shared" si="4"/>
        <v>4</v>
      </c>
      <c r="U16" s="3">
        <v>0</v>
      </c>
      <c r="V16" s="8">
        <f t="shared" si="5"/>
        <v>165.0804234546199</v>
      </c>
      <c r="W16" s="8"/>
      <c r="X16" s="11">
        <f t="shared" si="6"/>
        <v>0</v>
      </c>
    </row>
    <row r="17" spans="1:24" ht="15.5" x14ac:dyDescent="0.35">
      <c r="A17" s="1">
        <v>1088</v>
      </c>
      <c r="B17" s="2" t="s">
        <v>23</v>
      </c>
      <c r="C17" s="3" t="s">
        <v>24</v>
      </c>
      <c r="D17" s="18" t="str">
        <f t="shared" si="0"/>
        <v>jul</v>
      </c>
      <c r="E17" s="5">
        <v>45862</v>
      </c>
      <c r="F17" s="6">
        <v>45874</v>
      </c>
      <c r="G17" s="7">
        <v>8</v>
      </c>
      <c r="H17" s="7">
        <v>865</v>
      </c>
      <c r="I17" s="3">
        <v>865</v>
      </c>
      <c r="J17" s="8">
        <v>20510.23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10359.150554354557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5539.3423233587437</v>
      </c>
      <c r="M17" s="8">
        <f t="shared" si="1"/>
        <v>36408.722877713299</v>
      </c>
      <c r="N17" s="9">
        <f t="shared" si="2"/>
        <v>42.091009107183005</v>
      </c>
      <c r="O17" s="10">
        <f>300+398</f>
        <v>698</v>
      </c>
      <c r="P17" s="3">
        <f>85</f>
        <v>85</v>
      </c>
      <c r="Q17" s="3">
        <v>20</v>
      </c>
      <c r="R17" s="3">
        <f>60</f>
        <v>60</v>
      </c>
      <c r="S17" s="8">
        <f t="shared" si="3"/>
        <v>36324.540859498935</v>
      </c>
      <c r="T17" s="7">
        <f t="shared" si="4"/>
        <v>2</v>
      </c>
      <c r="U17" s="3">
        <v>0</v>
      </c>
      <c r="V17" s="8">
        <f t="shared" si="5"/>
        <v>84.182018214366011</v>
      </c>
      <c r="W17" s="8"/>
      <c r="X17" s="11">
        <f t="shared" si="6"/>
        <v>0</v>
      </c>
    </row>
    <row r="18" spans="1:24" ht="15.5" x14ac:dyDescent="0.35">
      <c r="A18" s="1" t="s">
        <v>123</v>
      </c>
      <c r="B18" s="2" t="s">
        <v>29</v>
      </c>
      <c r="C18" s="3" t="s">
        <v>34</v>
      </c>
      <c r="D18" s="18" t="str">
        <f t="shared" si="0"/>
        <v>jul</v>
      </c>
      <c r="E18" s="5">
        <v>45863</v>
      </c>
      <c r="F18" s="6">
        <v>45876</v>
      </c>
      <c r="G18" s="7">
        <v>40</v>
      </c>
      <c r="H18" s="7">
        <v>4540</v>
      </c>
      <c r="I18" s="3">
        <v>4540</v>
      </c>
      <c r="J18" s="8">
        <v>88315.6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30068.13442661913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27610.772528647823</v>
      </c>
      <c r="M18" s="8">
        <f t="shared" si="1"/>
        <v>145994.50695526696</v>
      </c>
      <c r="N18" s="9">
        <f t="shared" si="2"/>
        <v>32.157380386622677</v>
      </c>
      <c r="O18" s="10">
        <f>900+1422</f>
        <v>2322</v>
      </c>
      <c r="P18" s="3">
        <f>360+660</f>
        <v>1020</v>
      </c>
      <c r="Q18" s="3">
        <f>120</f>
        <v>120</v>
      </c>
      <c r="R18" s="3">
        <v>1060</v>
      </c>
      <c r="S18" s="8">
        <f t="shared" si="3"/>
        <v>145415.67410830775</v>
      </c>
      <c r="T18" s="37">
        <f t="shared" si="4"/>
        <v>18</v>
      </c>
      <c r="U18" s="3">
        <v>0</v>
      </c>
      <c r="V18" s="8">
        <f t="shared" si="5"/>
        <v>578.83284695920815</v>
      </c>
      <c r="W18" s="8"/>
      <c r="X18" s="11">
        <f t="shared" si="6"/>
        <v>0</v>
      </c>
    </row>
    <row r="19" spans="1:24" ht="15.5" x14ac:dyDescent="0.35">
      <c r="A19" s="1">
        <v>1089</v>
      </c>
      <c r="B19" s="2" t="s">
        <v>23</v>
      </c>
      <c r="C19" s="3" t="s">
        <v>40</v>
      </c>
      <c r="D19" s="18" t="str">
        <f t="shared" si="0"/>
        <v>jul</v>
      </c>
      <c r="E19" s="5">
        <v>45867</v>
      </c>
      <c r="F19" s="6">
        <v>45892</v>
      </c>
      <c r="G19" s="7">
        <v>3</v>
      </c>
      <c r="H19" s="7">
        <v>360</v>
      </c>
      <c r="I19" s="3">
        <v>360</v>
      </c>
      <c r="J19" s="8">
        <v>9463.89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3884.681457882959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2077.2533712595286</v>
      </c>
      <c r="M19" s="8">
        <f t="shared" si="1"/>
        <v>15425.824829142486</v>
      </c>
      <c r="N19" s="9">
        <f t="shared" si="2"/>
        <v>42.849513414284687</v>
      </c>
      <c r="O19" s="10">
        <f>120</f>
        <v>120</v>
      </c>
      <c r="P19" s="3"/>
      <c r="Q19" s="3"/>
      <c r="R19" s="3"/>
      <c r="S19" s="8">
        <f t="shared" si="3"/>
        <v>5141.941609714162</v>
      </c>
      <c r="T19" s="7">
        <f t="shared" si="4"/>
        <v>240</v>
      </c>
      <c r="U19" s="3">
        <v>240</v>
      </c>
      <c r="V19" s="8">
        <f t="shared" si="5"/>
        <v>0</v>
      </c>
      <c r="W19" s="8"/>
      <c r="X19" s="11">
        <f t="shared" si="6"/>
        <v>10283.883219428324</v>
      </c>
    </row>
    <row r="20" spans="1:24" ht="15.5" x14ac:dyDescent="0.35">
      <c r="A20" s="1">
        <v>1090</v>
      </c>
      <c r="B20" s="2" t="s">
        <v>23</v>
      </c>
      <c r="C20" s="3" t="s">
        <v>87</v>
      </c>
      <c r="D20" s="18" t="str">
        <f t="shared" si="0"/>
        <v>jul</v>
      </c>
      <c r="E20" s="5">
        <v>45868</v>
      </c>
      <c r="F20" s="6">
        <v>45882</v>
      </c>
      <c r="G20" s="7">
        <v>3</v>
      </c>
      <c r="H20" s="7">
        <v>351</v>
      </c>
      <c r="I20" s="3">
        <v>351</v>
      </c>
      <c r="J20" s="8">
        <v>8545.7199999999993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3884.681457882959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2077.2533712595286</v>
      </c>
      <c r="M20" s="8">
        <f t="shared" si="1"/>
        <v>14507.654829142488</v>
      </c>
      <c r="N20" s="9">
        <f t="shared" si="2"/>
        <v>41.33234994057689</v>
      </c>
      <c r="O20" s="10">
        <f>60+180</f>
        <v>240</v>
      </c>
      <c r="P20" s="3"/>
      <c r="Q20" s="3"/>
      <c r="R20" s="3">
        <f>40</f>
        <v>40</v>
      </c>
      <c r="S20" s="8">
        <f t="shared" si="3"/>
        <v>11573.057983361528</v>
      </c>
      <c r="T20" s="7">
        <f t="shared" si="4"/>
        <v>71</v>
      </c>
      <c r="U20" s="3">
        <v>71</v>
      </c>
      <c r="V20" s="8">
        <f t="shared" si="5"/>
        <v>0</v>
      </c>
      <c r="W20" s="8"/>
      <c r="X20" s="11">
        <f t="shared" si="6"/>
        <v>2934.596845780959</v>
      </c>
    </row>
    <row r="21" spans="1:24" ht="15.5" x14ac:dyDescent="0.35">
      <c r="A21" s="1" t="s">
        <v>124</v>
      </c>
      <c r="B21" s="2" t="s">
        <v>29</v>
      </c>
      <c r="C21" s="3" t="s">
        <v>47</v>
      </c>
      <c r="D21" s="18" t="str">
        <f t="shared" si="0"/>
        <v>jul</v>
      </c>
      <c r="E21" s="5">
        <v>45869</v>
      </c>
      <c r="F21" s="6">
        <v>45885</v>
      </c>
      <c r="G21" s="7">
        <v>20</v>
      </c>
      <c r="H21" s="7">
        <v>2528</v>
      </c>
      <c r="I21" s="3">
        <v>2528</v>
      </c>
      <c r="J21" s="8">
        <v>20524.349999999999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15034.067213309565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13805.386264323912</v>
      </c>
      <c r="M21" s="8">
        <f t="shared" si="1"/>
        <v>49363.803477633475</v>
      </c>
      <c r="N21" s="9">
        <f t="shared" si="2"/>
        <v>19.526820995899318</v>
      </c>
      <c r="O21" s="10">
        <v>667</v>
      </c>
      <c r="P21" s="3">
        <v>180</v>
      </c>
      <c r="Q21" s="3"/>
      <c r="R21" s="3">
        <f>180</f>
        <v>180</v>
      </c>
      <c r="S21" s="8">
        <f t="shared" si="3"/>
        <v>20054.0451627886</v>
      </c>
      <c r="T21" s="7">
        <f t="shared" si="4"/>
        <v>1501</v>
      </c>
      <c r="U21" s="3">
        <v>1501</v>
      </c>
      <c r="V21" s="8">
        <f t="shared" si="5"/>
        <v>0</v>
      </c>
      <c r="W21" s="8"/>
      <c r="X21" s="11">
        <f t="shared" si="6"/>
        <v>29309.758314844876</v>
      </c>
    </row>
    <row r="22" spans="1:24" ht="15.5" x14ac:dyDescent="0.35">
      <c r="A22" s="1">
        <v>1091</v>
      </c>
      <c r="B22" s="2" t="s">
        <v>23</v>
      </c>
      <c r="C22" s="3" t="s">
        <v>126</v>
      </c>
      <c r="D22" s="18" t="str">
        <f t="shared" si="0"/>
        <v>ago</v>
      </c>
      <c r="E22" s="5">
        <v>45870</v>
      </c>
      <c r="F22" s="6">
        <v>45885</v>
      </c>
      <c r="G22" s="7">
        <v>8</v>
      </c>
      <c r="H22" s="7">
        <v>860</v>
      </c>
      <c r="I22" s="7"/>
      <c r="J22" s="8">
        <v>19268.04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12253.564914046119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5069.7694709581947</v>
      </c>
      <c r="M22" s="8">
        <f t="shared" si="1"/>
        <v>36591.37438500431</v>
      </c>
      <c r="N22" s="9">
        <f t="shared" si="2"/>
        <v>42.548109750005011</v>
      </c>
      <c r="O22" s="10">
        <v>458</v>
      </c>
      <c r="P22" s="3">
        <v>200</v>
      </c>
      <c r="Q22" s="3"/>
      <c r="R22" s="3">
        <f>20</f>
        <v>20</v>
      </c>
      <c r="S22" s="8">
        <f t="shared" si="3"/>
        <v>28847.618410503397</v>
      </c>
      <c r="T22" s="37">
        <f t="shared" si="4"/>
        <v>182</v>
      </c>
      <c r="U22" s="3">
        <v>182</v>
      </c>
      <c r="V22" s="8">
        <f t="shared" si="5"/>
        <v>0</v>
      </c>
      <c r="W22" s="8"/>
      <c r="X22" s="11">
        <f t="shared" si="6"/>
        <v>7743.7559745009121</v>
      </c>
    </row>
    <row r="23" spans="1:24" ht="15.5" x14ac:dyDescent="0.35">
      <c r="A23" s="1">
        <v>1092</v>
      </c>
      <c r="B23" s="2" t="s">
        <v>23</v>
      </c>
      <c r="C23" s="3" t="s">
        <v>42</v>
      </c>
      <c r="D23" s="18" t="str">
        <f t="shared" si="0"/>
        <v>ago</v>
      </c>
      <c r="E23" s="5">
        <v>45874</v>
      </c>
      <c r="F23" s="6">
        <v>45901</v>
      </c>
      <c r="G23" s="7">
        <v>4</v>
      </c>
      <c r="H23" s="7">
        <v>475</v>
      </c>
      <c r="I23" s="7"/>
      <c r="J23" s="8">
        <v>6583.16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6126.7824570230596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2534.8847354790973</v>
      </c>
      <c r="M23" s="8">
        <f t="shared" si="1"/>
        <v>15244.827192502156</v>
      </c>
      <c r="N23" s="9">
        <f t="shared" si="2"/>
        <v>32.094373036846648</v>
      </c>
      <c r="O23" s="10">
        <v>0</v>
      </c>
      <c r="P23" s="3"/>
      <c r="Q23" s="3"/>
      <c r="R23" s="3"/>
      <c r="S23" s="8">
        <f t="shared" si="3"/>
        <v>0</v>
      </c>
      <c r="T23" s="7">
        <f t="shared" si="4"/>
        <v>475</v>
      </c>
      <c r="U23" s="3">
        <v>475</v>
      </c>
      <c r="V23" s="8">
        <f t="shared" si="5"/>
        <v>0</v>
      </c>
      <c r="W23" s="8"/>
      <c r="X23" s="11">
        <f t="shared" si="6"/>
        <v>15244.827192502158</v>
      </c>
    </row>
    <row r="24" spans="1:24" ht="15.5" x14ac:dyDescent="0.35">
      <c r="A24" s="1">
        <v>1093</v>
      </c>
      <c r="B24" s="2" t="s">
        <v>23</v>
      </c>
      <c r="C24" s="3" t="s">
        <v>35</v>
      </c>
      <c r="D24" s="18" t="str">
        <f t="shared" si="0"/>
        <v>ago</v>
      </c>
      <c r="E24" s="5">
        <v>45875</v>
      </c>
      <c r="F24" s="6">
        <v>45890</v>
      </c>
      <c r="G24" s="7">
        <v>4</v>
      </c>
      <c r="H24" s="7">
        <v>449</v>
      </c>
      <c r="I24" s="7"/>
      <c r="J24" s="8">
        <v>7281.06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6126.7824570230596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2534.8847354790973</v>
      </c>
      <c r="M24" s="8">
        <f t="shared" si="1"/>
        <v>15942.727192502158</v>
      </c>
      <c r="N24" s="9">
        <f t="shared" si="2"/>
        <v>35.507187511140664</v>
      </c>
      <c r="O24" s="10">
        <f>240</f>
        <v>240</v>
      </c>
      <c r="P24" s="3"/>
      <c r="Q24" s="3"/>
      <c r="R24" s="3"/>
      <c r="S24" s="8">
        <f t="shared" si="3"/>
        <v>8521.7250026737602</v>
      </c>
      <c r="T24" s="7">
        <f t="shared" si="4"/>
        <v>209</v>
      </c>
      <c r="U24" s="3">
        <v>209</v>
      </c>
      <c r="V24" s="8">
        <f t="shared" si="5"/>
        <v>0</v>
      </c>
      <c r="W24" s="8"/>
      <c r="X24" s="11">
        <f t="shared" si="6"/>
        <v>7421.0021898283985</v>
      </c>
    </row>
    <row r="25" spans="1:24" ht="15.5" x14ac:dyDescent="0.35">
      <c r="A25" s="1" t="s">
        <v>127</v>
      </c>
      <c r="B25" s="2" t="s">
        <v>29</v>
      </c>
      <c r="C25" s="3" t="s">
        <v>39</v>
      </c>
      <c r="D25" s="18" t="str">
        <f t="shared" si="0"/>
        <v>ago</v>
      </c>
      <c r="E25" s="5">
        <v>45875</v>
      </c>
      <c r="F25" s="6">
        <v>45891</v>
      </c>
      <c r="G25" s="7">
        <v>20</v>
      </c>
      <c r="H25" s="7">
        <v>2557</v>
      </c>
      <c r="I25" s="7"/>
      <c r="J25" s="8">
        <v>19288.71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18074.854488888883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17258.289450980392</v>
      </c>
      <c r="M25" s="8">
        <f t="shared" si="1"/>
        <v>54621.853939869266</v>
      </c>
      <c r="N25" s="9">
        <f t="shared" si="2"/>
        <v>21.361694931509295</v>
      </c>
      <c r="O25" s="10">
        <f>1140</f>
        <v>1140</v>
      </c>
      <c r="P25" s="3"/>
      <c r="Q25" s="3"/>
      <c r="R25" s="3">
        <f>180</f>
        <v>180</v>
      </c>
      <c r="S25" s="8">
        <f t="shared" si="3"/>
        <v>28197.437309592267</v>
      </c>
      <c r="T25" s="7">
        <f t="shared" si="4"/>
        <v>1237</v>
      </c>
      <c r="U25" s="3">
        <v>1237</v>
      </c>
      <c r="V25" s="8">
        <f t="shared" si="5"/>
        <v>0</v>
      </c>
      <c r="W25" s="8"/>
      <c r="X25" s="11">
        <f t="shared" si="6"/>
        <v>26424.416630276999</v>
      </c>
    </row>
    <row r="26" spans="1:24" ht="15.5" x14ac:dyDescent="0.35">
      <c r="A26" s="1">
        <v>1094</v>
      </c>
      <c r="B26" s="2" t="s">
        <v>23</v>
      </c>
      <c r="C26" s="3" t="s">
        <v>56</v>
      </c>
      <c r="D26" s="18" t="str">
        <f t="shared" si="0"/>
        <v>ago</v>
      </c>
      <c r="E26" s="5">
        <v>45877</v>
      </c>
      <c r="F26" s="6">
        <v>45894</v>
      </c>
      <c r="G26" s="7">
        <v>6</v>
      </c>
      <c r="H26" s="7">
        <v>691</v>
      </c>
      <c r="I26" s="7"/>
      <c r="J26" s="17">
        <v>24586.720000000001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9190.1736855345898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3802.3271032186458</v>
      </c>
      <c r="M26" s="8">
        <f t="shared" si="1"/>
        <v>37579.220788753235</v>
      </c>
      <c r="N26" s="9">
        <f t="shared" si="2"/>
        <v>54.383821691393969</v>
      </c>
      <c r="O26" s="10">
        <v>0</v>
      </c>
      <c r="P26" s="3"/>
      <c r="Q26" s="3"/>
      <c r="R26" s="3"/>
      <c r="S26" s="8">
        <f t="shared" si="3"/>
        <v>0</v>
      </c>
      <c r="T26" s="7">
        <f t="shared" si="4"/>
        <v>691</v>
      </c>
      <c r="U26" s="3">
        <v>691</v>
      </c>
      <c r="V26" s="8">
        <f t="shared" si="5"/>
        <v>0</v>
      </c>
      <c r="W26" s="8"/>
      <c r="X26" s="11">
        <f t="shared" si="6"/>
        <v>37579.220788753235</v>
      </c>
    </row>
    <row r="27" spans="1:24" ht="15.5" x14ac:dyDescent="0.35">
      <c r="A27" s="1">
        <v>1095</v>
      </c>
      <c r="B27" s="2" t="s">
        <v>23</v>
      </c>
      <c r="C27" s="3" t="s">
        <v>49</v>
      </c>
      <c r="D27" s="18" t="str">
        <f t="shared" si="0"/>
        <v>ago</v>
      </c>
      <c r="E27" s="5">
        <v>45882</v>
      </c>
      <c r="F27" s="6">
        <v>45904</v>
      </c>
      <c r="G27" s="7">
        <v>3</v>
      </c>
      <c r="H27" s="7">
        <v>360</v>
      </c>
      <c r="I27" s="7"/>
      <c r="J27" s="8">
        <v>10025.56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4595.0868427672949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1901.1635516093229</v>
      </c>
      <c r="M27" s="8">
        <f t="shared" si="1"/>
        <v>16521.810394376618</v>
      </c>
      <c r="N27" s="9">
        <f t="shared" si="2"/>
        <v>45.893917762157272</v>
      </c>
      <c r="O27" s="10">
        <v>0</v>
      </c>
      <c r="P27" s="3"/>
      <c r="Q27" s="3"/>
      <c r="R27" s="3"/>
      <c r="S27" s="8">
        <f t="shared" si="3"/>
        <v>0</v>
      </c>
      <c r="T27" s="7">
        <f t="shared" si="4"/>
        <v>360</v>
      </c>
      <c r="U27" s="3">
        <v>360</v>
      </c>
      <c r="V27" s="8">
        <f t="shared" si="5"/>
        <v>0</v>
      </c>
      <c r="W27" s="8"/>
      <c r="X27" s="11">
        <f t="shared" si="6"/>
        <v>16521.810394376618</v>
      </c>
    </row>
    <row r="28" spans="1:24" ht="15.5" x14ac:dyDescent="0.35">
      <c r="A28" s="1">
        <v>1096</v>
      </c>
      <c r="B28" s="2" t="s">
        <v>23</v>
      </c>
      <c r="C28" s="3" t="s">
        <v>35</v>
      </c>
      <c r="D28" s="18" t="str">
        <f t="shared" si="0"/>
        <v>ago</v>
      </c>
      <c r="E28" s="5">
        <v>45884</v>
      </c>
      <c r="F28" s="6">
        <v>45896</v>
      </c>
      <c r="G28" s="7">
        <v>3</v>
      </c>
      <c r="H28" s="7">
        <v>393</v>
      </c>
      <c r="I28" s="7"/>
      <c r="J28" s="8">
        <v>4629.1000000000004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4595.0868427672949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1901.1635516093229</v>
      </c>
      <c r="M28" s="8">
        <f t="shared" si="1"/>
        <v>11125.350394376619</v>
      </c>
      <c r="N28" s="9">
        <f t="shared" si="2"/>
        <v>28.308779629457046</v>
      </c>
      <c r="O28" s="10"/>
      <c r="P28" s="3"/>
      <c r="Q28" s="3"/>
      <c r="R28" s="3">
        <v>20</v>
      </c>
      <c r="S28" s="8">
        <f t="shared" si="3"/>
        <v>566.17559258914093</v>
      </c>
      <c r="T28" s="7">
        <f t="shared" si="4"/>
        <v>373</v>
      </c>
      <c r="U28" s="3">
        <v>373</v>
      </c>
      <c r="V28" s="8">
        <f t="shared" si="5"/>
        <v>0</v>
      </c>
      <c r="W28" s="8"/>
      <c r="X28" s="11">
        <f t="shared" si="6"/>
        <v>10559.174801787478</v>
      </c>
    </row>
    <row r="29" spans="1:24" ht="15.5" x14ac:dyDescent="0.35">
      <c r="A29" s="1" t="s">
        <v>128</v>
      </c>
      <c r="B29" s="2" t="s">
        <v>29</v>
      </c>
      <c r="C29" s="3" t="s">
        <v>34</v>
      </c>
      <c r="D29" s="18" t="str">
        <f t="shared" si="0"/>
        <v>ago</v>
      </c>
      <c r="E29" s="5">
        <v>45884</v>
      </c>
      <c r="F29" s="6">
        <v>45898</v>
      </c>
      <c r="G29" s="7">
        <v>40</v>
      </c>
      <c r="H29" s="7">
        <v>4470</v>
      </c>
      <c r="I29" s="7"/>
      <c r="J29" s="8">
        <v>88535.23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36149.708977777766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34516.578901960784</v>
      </c>
      <c r="M29" s="8">
        <f t="shared" si="1"/>
        <v>159201.51787973853</v>
      </c>
      <c r="N29" s="9">
        <f t="shared" si="2"/>
        <v>35.61555209837551</v>
      </c>
      <c r="O29" s="10">
        <v>420</v>
      </c>
      <c r="P29" s="3"/>
      <c r="Q29" s="3"/>
      <c r="R29" s="3">
        <v>230</v>
      </c>
      <c r="S29" s="8">
        <f t="shared" si="3"/>
        <v>23150.108863944082</v>
      </c>
      <c r="T29" s="7">
        <f t="shared" si="4"/>
        <v>3820</v>
      </c>
      <c r="U29" s="3">
        <v>3820</v>
      </c>
      <c r="V29" s="8">
        <f t="shared" si="5"/>
        <v>0</v>
      </c>
      <c r="W29" s="8"/>
      <c r="X29" s="11">
        <f t="shared" si="6"/>
        <v>136051.40901579446</v>
      </c>
    </row>
    <row r="30" spans="1:24" ht="15.5" x14ac:dyDescent="0.35">
      <c r="A30" s="1">
        <v>1097</v>
      </c>
      <c r="B30" s="2" t="s">
        <v>23</v>
      </c>
      <c r="C30" s="3" t="s">
        <v>24</v>
      </c>
      <c r="D30" s="18" t="str">
        <f t="shared" si="0"/>
        <v>ago</v>
      </c>
      <c r="E30" s="5">
        <v>45889</v>
      </c>
      <c r="F30" s="6">
        <v>45902</v>
      </c>
      <c r="G30" s="7">
        <v>8</v>
      </c>
      <c r="H30" s="7">
        <v>900</v>
      </c>
      <c r="I30" s="7"/>
      <c r="J30" s="17">
        <v>16635.925000000003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12253.564914046119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5069.7694709581947</v>
      </c>
      <c r="M30" s="8">
        <f t="shared" si="1"/>
        <v>33959.259385004312</v>
      </c>
      <c r="N30" s="9">
        <f t="shared" si="2"/>
        <v>37.732510427782572</v>
      </c>
      <c r="O30" s="10">
        <v>0</v>
      </c>
      <c r="P30" s="3"/>
      <c r="Q30" s="3"/>
      <c r="R30" s="3"/>
      <c r="S30" s="8">
        <f t="shared" si="3"/>
        <v>0</v>
      </c>
      <c r="T30" s="7">
        <f t="shared" si="4"/>
        <v>900</v>
      </c>
      <c r="U30" s="3">
        <v>900</v>
      </c>
      <c r="V30" s="8">
        <f t="shared" si="5"/>
        <v>0</v>
      </c>
      <c r="W30" s="8"/>
      <c r="X30" s="11">
        <f t="shared" si="6"/>
        <v>33959.259385004312</v>
      </c>
    </row>
    <row r="31" spans="1:24" ht="15.5" x14ac:dyDescent="0.35">
      <c r="A31" s="1" t="s">
        <v>129</v>
      </c>
      <c r="B31" s="2" t="s">
        <v>29</v>
      </c>
      <c r="C31" s="3" t="s">
        <v>130</v>
      </c>
      <c r="D31" s="18" t="str">
        <f t="shared" si="0"/>
        <v>ago</v>
      </c>
      <c r="E31" s="5">
        <v>45889</v>
      </c>
      <c r="F31" s="6">
        <v>45909</v>
      </c>
      <c r="G31" s="7">
        <v>20</v>
      </c>
      <c r="H31" s="7">
        <v>2422</v>
      </c>
      <c r="I31" s="7"/>
      <c r="J31" s="19">
        <f>51982.33-9990.52-16669.29-21216.27</f>
        <v>4106.2499999999964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18074.854488888883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17258.289450980392</v>
      </c>
      <c r="M31" s="8">
        <f t="shared" si="1"/>
        <v>39439.393939869275</v>
      </c>
      <c r="N31" s="9">
        <f t="shared" si="2"/>
        <v>16.28381252678335</v>
      </c>
      <c r="O31" s="10">
        <v>0</v>
      </c>
      <c r="P31" s="3"/>
      <c r="Q31" s="3"/>
      <c r="R31" s="3"/>
      <c r="S31" s="8">
        <f t="shared" si="3"/>
        <v>0</v>
      </c>
      <c r="T31" s="7">
        <f t="shared" si="4"/>
        <v>2422</v>
      </c>
      <c r="U31" s="3">
        <v>2422</v>
      </c>
      <c r="V31" s="8">
        <f t="shared" si="5"/>
        <v>0</v>
      </c>
      <c r="W31" s="8"/>
      <c r="X31" s="11">
        <f t="shared" si="6"/>
        <v>39439.393939869275</v>
      </c>
    </row>
    <row r="32" spans="1:24" ht="15.5" x14ac:dyDescent="0.35">
      <c r="A32" s="1">
        <v>1098</v>
      </c>
      <c r="B32" s="2" t="s">
        <v>23</v>
      </c>
      <c r="C32" s="3" t="s">
        <v>97</v>
      </c>
      <c r="D32" s="18" t="str">
        <f t="shared" si="0"/>
        <v>ago</v>
      </c>
      <c r="E32" s="5">
        <v>45891</v>
      </c>
      <c r="F32" s="6">
        <v>45910</v>
      </c>
      <c r="G32" s="7">
        <v>3</v>
      </c>
      <c r="H32" s="7">
        <v>380</v>
      </c>
      <c r="I32" s="7"/>
      <c r="J32" s="17">
        <v>18194.095000000001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4595.0868427672949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1901.1635516093229</v>
      </c>
      <c r="M32" s="8">
        <f t="shared" si="1"/>
        <v>24690.345394376618</v>
      </c>
      <c r="N32" s="9">
        <f t="shared" si="2"/>
        <v>64.974593143096357</v>
      </c>
      <c r="O32" s="10">
        <v>0</v>
      </c>
      <c r="P32" s="3"/>
      <c r="Q32" s="3"/>
      <c r="R32" s="3"/>
      <c r="S32" s="8">
        <f t="shared" si="3"/>
        <v>0</v>
      </c>
      <c r="T32" s="7">
        <f t="shared" si="4"/>
        <v>380</v>
      </c>
      <c r="U32" s="3">
        <v>380</v>
      </c>
      <c r="V32" s="8">
        <f t="shared" si="5"/>
        <v>0</v>
      </c>
      <c r="W32" s="8"/>
      <c r="X32" s="11">
        <f t="shared" si="6"/>
        <v>24690.345394376614</v>
      </c>
    </row>
    <row r="33" spans="1:24" ht="15.5" x14ac:dyDescent="0.35">
      <c r="A33" s="1">
        <v>1099</v>
      </c>
      <c r="B33" s="2" t="s">
        <v>23</v>
      </c>
      <c r="C33" s="3" t="s">
        <v>56</v>
      </c>
      <c r="D33" s="18" t="str">
        <f t="shared" si="0"/>
        <v>ago</v>
      </c>
      <c r="E33" s="5">
        <v>45895</v>
      </c>
      <c r="F33" s="6">
        <v>45913</v>
      </c>
      <c r="G33" s="7">
        <v>3</v>
      </c>
      <c r="H33" s="7">
        <v>360</v>
      </c>
      <c r="I33" s="7"/>
      <c r="J33" s="17">
        <v>11650.47</v>
      </c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4595.0868427672949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1901.1635516093229</v>
      </c>
      <c r="M33" s="8">
        <f t="shared" si="1"/>
        <v>18146.720394376618</v>
      </c>
      <c r="N33" s="9">
        <f t="shared" si="2"/>
        <v>50.407556651046164</v>
      </c>
      <c r="O33" s="10">
        <v>0</v>
      </c>
      <c r="P33" s="3"/>
      <c r="Q33" s="3"/>
      <c r="R33" s="3"/>
      <c r="S33" s="8">
        <f t="shared" si="3"/>
        <v>0</v>
      </c>
      <c r="T33" s="7">
        <f t="shared" si="4"/>
        <v>360</v>
      </c>
      <c r="U33" s="3">
        <v>360</v>
      </c>
      <c r="V33" s="8">
        <f t="shared" si="5"/>
        <v>0</v>
      </c>
      <c r="W33" s="8"/>
      <c r="X33" s="11">
        <f t="shared" si="6"/>
        <v>18146.720394376618</v>
      </c>
    </row>
    <row r="34" spans="1:24" ht="15.5" x14ac:dyDescent="0.35">
      <c r="A34" s="1" t="s">
        <v>131</v>
      </c>
      <c r="B34" s="2" t="s">
        <v>29</v>
      </c>
      <c r="C34" s="3" t="s">
        <v>39</v>
      </c>
      <c r="D34" s="18" t="str">
        <f t="shared" si="0"/>
        <v>ago</v>
      </c>
      <c r="E34" s="5">
        <v>45896</v>
      </c>
      <c r="F34" s="6"/>
      <c r="G34" s="7">
        <v>20</v>
      </c>
      <c r="H34" s="7"/>
      <c r="I34" s="7"/>
      <c r="J34" s="8">
        <v>15223.37</v>
      </c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18074.854488888883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17258.289450980392</v>
      </c>
      <c r="M34" s="8">
        <f t="shared" si="1"/>
        <v>50556.51393986927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6"/>
        <v>0</v>
      </c>
    </row>
    <row r="35" spans="1:24" ht="15.5" x14ac:dyDescent="0.35">
      <c r="A35" s="1">
        <v>1100</v>
      </c>
      <c r="B35" s="2" t="s">
        <v>23</v>
      </c>
      <c r="C35" s="3" t="s">
        <v>132</v>
      </c>
      <c r="D35" s="18" t="str">
        <f t="shared" si="0"/>
        <v>ago</v>
      </c>
      <c r="E35" s="5">
        <v>45897</v>
      </c>
      <c r="F35" s="7"/>
      <c r="G35" s="7">
        <v>8</v>
      </c>
      <c r="H35" s="7"/>
      <c r="I35" s="7"/>
      <c r="J35" s="8">
        <v>14985.1</v>
      </c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12253.564914046119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5069.7694709581947</v>
      </c>
      <c r="M35" s="8">
        <f t="shared" si="1"/>
        <v>32308.434385004315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6"/>
        <v>0</v>
      </c>
    </row>
    <row r="36" spans="1:24" ht="15.5" x14ac:dyDescent="0.35">
      <c r="A36" s="1">
        <v>1101</v>
      </c>
      <c r="B36" s="2" t="s">
        <v>23</v>
      </c>
      <c r="C36" s="3" t="s">
        <v>32</v>
      </c>
      <c r="D36" s="18" t="str">
        <f t="shared" si="0"/>
        <v>ago</v>
      </c>
      <c r="E36" s="5">
        <v>45898</v>
      </c>
      <c r="F36" s="7"/>
      <c r="G36" s="7">
        <v>3</v>
      </c>
      <c r="H36" s="7"/>
      <c r="I36" s="7"/>
      <c r="J36" s="8">
        <v>11237.41</v>
      </c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4595.0868427672949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1901.1635516093229</v>
      </c>
      <c r="M36" s="8">
        <f t="shared" si="1"/>
        <v>17733.660394376617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40" spans="1:24" ht="15.75" customHeight="1" x14ac:dyDescent="0.25">
      <c r="F40" s="22"/>
      <c r="I40" s="22" t="s">
        <v>133</v>
      </c>
      <c r="J40" s="22">
        <f>SUMIF(D2:D38,I40,J2:J38)</f>
        <v>272230.2</v>
      </c>
      <c r="K40" s="22">
        <v>272230.2</v>
      </c>
      <c r="M40" s="22">
        <f>SUMIF(D2:D38,I40,M2:M38)</f>
        <v>563663.00999999989</v>
      </c>
      <c r="N40" s="22"/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7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8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100</v>
      </c>
      <c r="M43" s="21" t="s">
        <v>101</v>
      </c>
      <c r="N43" s="21" t="s">
        <v>102</v>
      </c>
      <c r="O43" s="21" t="s">
        <v>70</v>
      </c>
      <c r="P43" s="21"/>
      <c r="Q43" s="21"/>
      <c r="R43" s="21" t="s">
        <v>71</v>
      </c>
      <c r="S43" s="21">
        <f t="shared" si="7"/>
        <v>3006.2999999999997</v>
      </c>
      <c r="T43" s="21" t="s">
        <v>72</v>
      </c>
      <c r="U43" s="21">
        <v>460</v>
      </c>
      <c r="V43" s="21">
        <v>6914.49</v>
      </c>
      <c r="W43" s="21">
        <f t="shared" si="8"/>
        <v>15.031499999999999</v>
      </c>
      <c r="X43" s="21">
        <f>ROUND(W43*150,2)</f>
        <v>2254.73</v>
      </c>
    </row>
    <row r="44" spans="1:24" ht="15.75" customHeight="1" x14ac:dyDescent="0.25">
      <c r="D44" s="22"/>
      <c r="E44" s="22">
        <v>24586.720000000001</v>
      </c>
      <c r="F44" s="21" t="s">
        <v>103</v>
      </c>
      <c r="G44" s="21">
        <f t="shared" ref="G44:G48" si="9">SUM(I44:R44)</f>
        <v>975</v>
      </c>
      <c r="I44" s="24">
        <v>975</v>
      </c>
      <c r="J44" s="24"/>
      <c r="K44" s="24"/>
      <c r="L44" s="24"/>
      <c r="M44" s="24"/>
      <c r="N44" s="24"/>
      <c r="O44" s="24"/>
      <c r="P44" s="24"/>
      <c r="Q44" s="24"/>
      <c r="R44" s="24"/>
      <c r="S44" s="21">
        <f>ROUND(S43+S42,2)</f>
        <v>4889.5</v>
      </c>
    </row>
    <row r="45" spans="1:24" ht="15.75" customHeight="1" x14ac:dyDescent="0.25">
      <c r="D45" s="22"/>
      <c r="E45" s="22">
        <v>16635.925000000003</v>
      </c>
      <c r="F45" s="21" t="s">
        <v>24</v>
      </c>
      <c r="G45" s="21">
        <f t="shared" si="9"/>
        <v>7697.2250000000004</v>
      </c>
      <c r="I45" s="24">
        <v>292.5</v>
      </c>
      <c r="J45" s="24">
        <v>4608.7250000000004</v>
      </c>
      <c r="K45" s="24">
        <v>2750</v>
      </c>
      <c r="L45" s="24"/>
      <c r="M45" s="24"/>
      <c r="N45" s="24"/>
      <c r="O45" s="24"/>
      <c r="P45" s="24"/>
      <c r="Q45" s="24"/>
      <c r="R45" s="24">
        <f>138/3</f>
        <v>46</v>
      </c>
      <c r="S45" s="21">
        <f>S44/2</f>
        <v>2444.75</v>
      </c>
      <c r="V45" s="21">
        <f>W42*250</f>
        <v>2354</v>
      </c>
    </row>
    <row r="46" spans="1:24" ht="15.75" customHeight="1" x14ac:dyDescent="0.25">
      <c r="D46" s="22"/>
      <c r="E46" s="22">
        <v>18194.095000000001</v>
      </c>
      <c r="F46" s="21" t="s">
        <v>134</v>
      </c>
      <c r="G46" s="21">
        <f t="shared" si="9"/>
        <v>12606.725</v>
      </c>
      <c r="H46" s="22"/>
      <c r="I46" s="24"/>
      <c r="J46" s="24">
        <v>2254.7249999999999</v>
      </c>
      <c r="K46" s="24"/>
      <c r="L46" s="24">
        <v>50</v>
      </c>
      <c r="M46" s="24">
        <v>10000</v>
      </c>
      <c r="N46" s="24">
        <v>210</v>
      </c>
      <c r="O46" s="24"/>
      <c r="P46" s="24"/>
      <c r="Q46" s="24"/>
      <c r="R46" s="24">
        <f>138/3*2</f>
        <v>92</v>
      </c>
      <c r="V46" s="21">
        <f>W43*150</f>
        <v>2254.7249999999999</v>
      </c>
    </row>
    <row r="47" spans="1:24" ht="15.75" customHeight="1" x14ac:dyDescent="0.25">
      <c r="D47" s="22"/>
      <c r="E47" s="22">
        <v>11650.47</v>
      </c>
      <c r="F47" s="21" t="s">
        <v>103</v>
      </c>
      <c r="G47" s="21">
        <f t="shared" si="9"/>
        <v>390</v>
      </c>
      <c r="I47" s="24">
        <v>390</v>
      </c>
      <c r="J47" s="24"/>
      <c r="K47" s="24"/>
      <c r="L47" s="24"/>
      <c r="M47" s="24"/>
      <c r="N47" s="24"/>
      <c r="O47" s="24"/>
      <c r="P47" s="24"/>
      <c r="Q47" s="24"/>
      <c r="R47" s="24"/>
      <c r="V47" s="21">
        <f>V46+V45</f>
        <v>4608.7250000000004</v>
      </c>
    </row>
    <row r="48" spans="1:24" ht="15.75" customHeight="1" x14ac:dyDescent="0.25">
      <c r="D48" s="22"/>
      <c r="E48" s="22"/>
      <c r="G48" s="21">
        <f t="shared" si="9"/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51" spans="3:10" ht="15.75" customHeight="1" x14ac:dyDescent="0.25">
      <c r="J51" s="22"/>
    </row>
    <row r="55" spans="3:10" ht="15.75" customHeight="1" x14ac:dyDescent="0.25">
      <c r="C55" s="26"/>
    </row>
  </sheetData>
  <conditionalFormatting sqref="N2:N38">
    <cfRule type="cellIs" dxfId="7" priority="1" operator="greaterThan">
      <formula>60</formula>
    </cfRule>
    <cfRule type="cellIs" dxfId="6" priority="2" operator="greaterThan">
      <formula>45</formula>
    </cfRule>
  </conditionalFormatting>
  <dataValidations count="1">
    <dataValidation type="list" allowBlank="1" showErrorMessage="1" sqref="B2:B38" xr:uid="{00000000-0002-0000-07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X55"/>
  <sheetViews>
    <sheetView workbookViewId="0">
      <pane xSplit="3" topLeftCell="H1" activePane="topRight" state="frozen"/>
      <selection pane="topRight" sqref="A1:X1"/>
    </sheetView>
  </sheetViews>
  <sheetFormatPr baseColWidth="10" defaultColWidth="12.6328125" defaultRowHeight="15.75" customHeight="1" x14ac:dyDescent="0.25"/>
  <cols>
    <col min="1" max="1" width="7.6328125" customWidth="1"/>
    <col min="3" max="3" width="13.6328125" customWidth="1"/>
    <col min="4" max="4" width="6.6328125" customWidth="1"/>
    <col min="6" max="6" width="10.6328125" customWidth="1"/>
    <col min="7" max="7" width="7.6328125" customWidth="1"/>
    <col min="11" max="11" width="13" customWidth="1"/>
    <col min="21" max="21" width="13.36328125" customWidth="1"/>
  </cols>
  <sheetData>
    <row r="1" spans="1:24" ht="15.5" x14ac:dyDescent="0.35">
      <c r="A1" s="59"/>
      <c r="B1" s="60" t="s">
        <v>0</v>
      </c>
      <c r="C1" s="60" t="s">
        <v>1</v>
      </c>
      <c r="D1" s="61" t="s">
        <v>2</v>
      </c>
      <c r="E1" s="61" t="s">
        <v>3</v>
      </c>
      <c r="F1" s="60" t="s">
        <v>4</v>
      </c>
      <c r="G1" s="61" t="s">
        <v>5</v>
      </c>
      <c r="H1" s="60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0" t="s">
        <v>15</v>
      </c>
      <c r="R1" s="60" t="s">
        <v>16</v>
      </c>
      <c r="S1" s="60" t="s">
        <v>17</v>
      </c>
      <c r="T1" s="60" t="s">
        <v>18</v>
      </c>
      <c r="U1" s="60" t="s">
        <v>19</v>
      </c>
      <c r="V1" s="60" t="s">
        <v>20</v>
      </c>
      <c r="W1" s="60" t="s">
        <v>21</v>
      </c>
      <c r="X1" s="62" t="s">
        <v>22</v>
      </c>
    </row>
    <row r="2" spans="1:24" ht="15.5" x14ac:dyDescent="0.35">
      <c r="A2" s="1">
        <v>1084</v>
      </c>
      <c r="B2" s="2" t="s">
        <v>23</v>
      </c>
      <c r="C2" s="3" t="s">
        <v>57</v>
      </c>
      <c r="D2" s="18" t="str">
        <f t="shared" ref="D2:D38" si="0">IF(E2="","-",(TEXT(E2,"MMM")))</f>
        <v>jul</v>
      </c>
      <c r="E2" s="5">
        <v>45845</v>
      </c>
      <c r="F2" s="6">
        <v>45873</v>
      </c>
      <c r="G2" s="7">
        <v>4</v>
      </c>
      <c r="H2" s="7">
        <v>436</v>
      </c>
      <c r="I2" s="3">
        <v>60</v>
      </c>
      <c r="J2" s="8">
        <v>7410.09</v>
      </c>
      <c r="K2" s="8">
        <f>IFERROR(((SUMIFS(MOIndirectos!$E$34:$E$132,MOIndirectos!$B$34:$B$132,"Mano de Obra",MOIndirectos!$C$34:$C$132,$D2,MOIndirectos!$D$34:$D$132,$B2))/(SUMIFS(MOIndirectos!$E$34:$E$132,MOIndirectos!$B$34:$B$132,"Produccion",MOIndirectos!$C$34:$C$132,$D2,MOIndirectos!$D$34:$D$132,$B2))*$G2),0)</f>
        <v>5179.5752771772786</v>
      </c>
      <c r="L2" s="8">
        <f>IFERROR(((SUMIFS(MOIndirectos!$E$34:$E$132,MOIndirectos!$B$34:$B$132,"Indirectos",MOIndirectos!$C$34:$C$132,$D2,MOIndirectos!$D$34:$D$132,$B2))/(SUMIFS(MOIndirectos!$E$34:$E$132,MOIndirectos!$B$34:$B$132,"Produccion",MOIndirectos!$C$34:$C$132,$D2,MOIndirectos!$D$34:$D$132,$B2))*$G2),0)</f>
        <v>2769.6711616793718</v>
      </c>
      <c r="M2" s="8">
        <f t="shared" ref="M2:M38" si="1">J2+K2+L2</f>
        <v>15359.336438856652</v>
      </c>
      <c r="N2" s="9">
        <f t="shared" ref="N2:N38" si="2">IF(H2&gt;0,M2/H2,"N/A")</f>
        <v>35.227835868937277</v>
      </c>
      <c r="O2" s="10">
        <v>60</v>
      </c>
      <c r="P2" s="3"/>
      <c r="Q2" s="3"/>
      <c r="R2" s="3">
        <v>0</v>
      </c>
      <c r="S2" s="8">
        <f t="shared" ref="S2:S38" si="3">IF(N2="N/A",0,(O2+P2+Q2+R2)*N2)</f>
        <v>2113.6701521362365</v>
      </c>
      <c r="T2" s="7">
        <f t="shared" ref="T2:T38" si="4">IF(I2=0,H2-O2-P2-Q2-R2,I2-O2-P2-Q2-R2)</f>
        <v>0</v>
      </c>
      <c r="U2" s="3">
        <v>0</v>
      </c>
      <c r="V2" s="8">
        <f t="shared" ref="V2:V38" si="5">IF(N2="N/A",0,((T2-U2)*N2)-W2)</f>
        <v>0</v>
      </c>
      <c r="W2" s="8"/>
      <c r="X2" s="11">
        <f t="shared" ref="X2:X38" si="6">IF(N2="N/A",0,U2*N2)</f>
        <v>0</v>
      </c>
    </row>
    <row r="3" spans="1:24" ht="15.5" x14ac:dyDescent="0.35">
      <c r="A3" s="1" t="s">
        <v>122</v>
      </c>
      <c r="B3" s="2" t="s">
        <v>29</v>
      </c>
      <c r="C3" s="3" t="s">
        <v>41</v>
      </c>
      <c r="D3" s="18" t="str">
        <f t="shared" si="0"/>
        <v>jul</v>
      </c>
      <c r="E3" s="5">
        <v>45854</v>
      </c>
      <c r="F3" s="6">
        <v>45870</v>
      </c>
      <c r="G3" s="7">
        <v>20</v>
      </c>
      <c r="H3" s="7">
        <v>2490</v>
      </c>
      <c r="I3" s="3">
        <v>89</v>
      </c>
      <c r="J3" s="8">
        <v>32301.39</v>
      </c>
      <c r="K3" s="8">
        <f>IFERROR(((SUMIFS(MOIndirectos!$E$34:$E$132,MOIndirectos!$B$34:$B$132,"Mano de Obra",MOIndirectos!$C$34:$C$132,$D3,MOIndirectos!$D$34:$D$132,$B3))/(SUMIFS(MOIndirectos!$E$34:$E$132,MOIndirectos!$B$34:$B$132,"Produccion",MOIndirectos!$C$34:$C$132,$D3,MOIndirectos!$D$34:$D$132,$B3))*$G3),0)</f>
        <v>15034.067213309565</v>
      </c>
      <c r="L3" s="8">
        <f>IFERROR(((SUMIFS(MOIndirectos!$E$34:$E$132,MOIndirectos!$B$34:$B$132,"Indirectos",MOIndirectos!$C$34:$C$132,$D3,MOIndirectos!$D$34:$D$132,$B3))/(SUMIFS(MOIndirectos!$E$34:$E$132,MOIndirectos!$B$34:$B$132,"Produccion",MOIndirectos!$C$34:$C$132,$D3,MOIndirectos!$D$34:$D$132,$B3))*$G3),0)</f>
        <v>13805.386264323912</v>
      </c>
      <c r="M3" s="8">
        <f t="shared" si="1"/>
        <v>61140.843477633476</v>
      </c>
      <c r="N3" s="9">
        <f t="shared" si="2"/>
        <v>24.554555613507421</v>
      </c>
      <c r="O3" s="10"/>
      <c r="P3" s="3">
        <v>60</v>
      </c>
      <c r="Q3" s="3"/>
      <c r="R3" s="3">
        <v>0</v>
      </c>
      <c r="S3" s="8">
        <f t="shared" si="3"/>
        <v>1473.2733368104452</v>
      </c>
      <c r="T3" s="28">
        <f t="shared" si="4"/>
        <v>29</v>
      </c>
      <c r="U3" s="3">
        <v>0</v>
      </c>
      <c r="V3" s="8">
        <f t="shared" si="5"/>
        <v>712.08211279171519</v>
      </c>
      <c r="W3" s="8"/>
      <c r="X3" s="11">
        <f t="shared" si="6"/>
        <v>0</v>
      </c>
    </row>
    <row r="4" spans="1:24" ht="15.5" x14ac:dyDescent="0.35">
      <c r="A4" s="1">
        <v>1089</v>
      </c>
      <c r="B4" s="2" t="s">
        <v>23</v>
      </c>
      <c r="C4" s="3" t="s">
        <v>40</v>
      </c>
      <c r="D4" s="18" t="str">
        <f t="shared" si="0"/>
        <v>jul</v>
      </c>
      <c r="E4" s="5">
        <v>45867</v>
      </c>
      <c r="F4" s="6">
        <v>45892</v>
      </c>
      <c r="G4" s="7">
        <v>3</v>
      </c>
      <c r="H4" s="7">
        <v>360</v>
      </c>
      <c r="I4" s="3">
        <v>240</v>
      </c>
      <c r="J4" s="8">
        <v>9463.89</v>
      </c>
      <c r="K4" s="8">
        <f>IFERROR(((SUMIFS(MOIndirectos!$E$34:$E$132,MOIndirectos!$B$34:$B$132,"Mano de Obra",MOIndirectos!$C$34:$C$132,$D4,MOIndirectos!$D$34:$D$132,$B4))/(SUMIFS(MOIndirectos!$E$34:$E$132,MOIndirectos!$B$34:$B$132,"Produccion",MOIndirectos!$C$34:$C$132,$D4,MOIndirectos!$D$34:$D$132,$B4))*$G4),0)</f>
        <v>3884.681457882959</v>
      </c>
      <c r="L4" s="8">
        <f>IFERROR(((SUMIFS(MOIndirectos!$E$34:$E$132,MOIndirectos!$B$34:$B$132,"Indirectos",MOIndirectos!$C$34:$C$132,$D4,MOIndirectos!$D$34:$D$132,$B4))/(SUMIFS(MOIndirectos!$E$34:$E$132,MOIndirectos!$B$34:$B$132,"Produccion",MOIndirectos!$C$34:$C$132,$D4,MOIndirectos!$D$34:$D$132,$B4))*$G4),0)</f>
        <v>2077.2533712595286</v>
      </c>
      <c r="M4" s="8">
        <f t="shared" si="1"/>
        <v>15425.824829142486</v>
      </c>
      <c r="N4" s="9">
        <f t="shared" si="2"/>
        <v>42.849513414284687</v>
      </c>
      <c r="O4" s="10">
        <v>158</v>
      </c>
      <c r="P4" s="3">
        <v>60</v>
      </c>
      <c r="Q4" s="3"/>
      <c r="R4" s="3">
        <v>20</v>
      </c>
      <c r="S4" s="8">
        <f t="shared" si="3"/>
        <v>10198.184192599756</v>
      </c>
      <c r="T4" s="7">
        <f t="shared" si="4"/>
        <v>2</v>
      </c>
      <c r="U4" s="3">
        <v>0</v>
      </c>
      <c r="V4" s="8">
        <f t="shared" si="5"/>
        <v>85.699026828569373</v>
      </c>
      <c r="W4" s="8"/>
      <c r="X4" s="11">
        <f t="shared" si="6"/>
        <v>0</v>
      </c>
    </row>
    <row r="5" spans="1:24" ht="15.5" x14ac:dyDescent="0.35">
      <c r="A5" s="1">
        <v>1090</v>
      </c>
      <c r="B5" s="2" t="s">
        <v>23</v>
      </c>
      <c r="C5" s="3" t="s">
        <v>87</v>
      </c>
      <c r="D5" s="18" t="str">
        <f t="shared" si="0"/>
        <v>jul</v>
      </c>
      <c r="E5" s="5">
        <v>45868</v>
      </c>
      <c r="F5" s="6">
        <v>45882</v>
      </c>
      <c r="G5" s="7">
        <v>3</v>
      </c>
      <c r="H5" s="7">
        <v>351</v>
      </c>
      <c r="I5" s="3">
        <v>71</v>
      </c>
      <c r="J5" s="8">
        <v>8545.7199999999993</v>
      </c>
      <c r="K5" s="8">
        <f>IFERROR(((SUMIFS(MOIndirectos!$E$34:$E$132,MOIndirectos!$B$34:$B$132,"Mano de Obra",MOIndirectos!$C$34:$C$132,$D5,MOIndirectos!$D$34:$D$132,$B5))/(SUMIFS(MOIndirectos!$E$34:$E$132,MOIndirectos!$B$34:$B$132,"Produccion",MOIndirectos!$C$34:$C$132,$D5,MOIndirectos!$D$34:$D$132,$B5))*$G5),0)</f>
        <v>3884.681457882959</v>
      </c>
      <c r="L5" s="8">
        <f>IFERROR(((SUMIFS(MOIndirectos!$E$34:$E$132,MOIndirectos!$B$34:$B$132,"Indirectos",MOIndirectos!$C$34:$C$132,$D5,MOIndirectos!$D$34:$D$132,$B5))/(SUMIFS(MOIndirectos!$E$34:$E$132,MOIndirectos!$B$34:$B$132,"Produccion",MOIndirectos!$C$34:$C$132,$D5,MOIndirectos!$D$34:$D$132,$B5))*$G5),0)</f>
        <v>2077.2533712595286</v>
      </c>
      <c r="M5" s="8">
        <f t="shared" si="1"/>
        <v>14507.654829142488</v>
      </c>
      <c r="N5" s="9">
        <f t="shared" si="2"/>
        <v>41.33234994057689</v>
      </c>
      <c r="O5" s="10">
        <v>72</v>
      </c>
      <c r="P5" s="3"/>
      <c r="Q5" s="3"/>
      <c r="R5" s="3">
        <v>0</v>
      </c>
      <c r="S5" s="8">
        <f t="shared" si="3"/>
        <v>2975.929195721536</v>
      </c>
      <c r="T5" s="7">
        <f t="shared" si="4"/>
        <v>-1</v>
      </c>
      <c r="U5" s="3">
        <v>0</v>
      </c>
      <c r="V5" s="8">
        <f t="shared" si="5"/>
        <v>-41.33234994057689</v>
      </c>
      <c r="W5" s="8"/>
      <c r="X5" s="11">
        <f t="shared" si="6"/>
        <v>0</v>
      </c>
    </row>
    <row r="6" spans="1:24" ht="15.5" x14ac:dyDescent="0.35">
      <c r="A6" s="1" t="s">
        <v>124</v>
      </c>
      <c r="B6" s="2" t="s">
        <v>29</v>
      </c>
      <c r="C6" s="3" t="s">
        <v>47</v>
      </c>
      <c r="D6" s="18" t="str">
        <f t="shared" si="0"/>
        <v>jul</v>
      </c>
      <c r="E6" s="5">
        <v>45869</v>
      </c>
      <c r="F6" s="6">
        <v>45885</v>
      </c>
      <c r="G6" s="7">
        <v>20</v>
      </c>
      <c r="H6" s="7">
        <v>2528</v>
      </c>
      <c r="I6" s="3">
        <v>1501</v>
      </c>
      <c r="J6" s="8">
        <v>20524.349999999999</v>
      </c>
      <c r="K6" s="8">
        <f>IFERROR(((SUMIFS(MOIndirectos!$E$34:$E$132,MOIndirectos!$B$34:$B$132,"Mano de Obra",MOIndirectos!$C$34:$C$132,$D6,MOIndirectos!$D$34:$D$132,$B6))/(SUMIFS(MOIndirectos!$E$34:$E$132,MOIndirectos!$B$34:$B$132,"Produccion",MOIndirectos!$C$34:$C$132,$D6,MOIndirectos!$D$34:$D$132,$B6))*$G6),0)</f>
        <v>15034.067213309565</v>
      </c>
      <c r="L6" s="8">
        <f>IFERROR(((SUMIFS(MOIndirectos!$E$34:$E$132,MOIndirectos!$B$34:$B$132,"Indirectos",MOIndirectos!$C$34:$C$132,$D6,MOIndirectos!$D$34:$D$132,$B6))/(SUMIFS(MOIndirectos!$E$34:$E$132,MOIndirectos!$B$34:$B$132,"Produccion",MOIndirectos!$C$34:$C$132,$D6,MOIndirectos!$D$34:$D$132,$B6))*$G6),0)</f>
        <v>13805.386264323912</v>
      </c>
      <c r="M6" s="8">
        <f t="shared" si="1"/>
        <v>49363.803477633475</v>
      </c>
      <c r="N6" s="9">
        <f t="shared" si="2"/>
        <v>19.526820995899318</v>
      </c>
      <c r="O6" s="10">
        <f>410+282</f>
        <v>692</v>
      </c>
      <c r="P6" s="3">
        <f>120+120</f>
        <v>240</v>
      </c>
      <c r="Q6" s="3">
        <v>120</v>
      </c>
      <c r="R6" s="3">
        <f>180+190</f>
        <v>370</v>
      </c>
      <c r="S6" s="8">
        <f t="shared" si="3"/>
        <v>27767.139456168828</v>
      </c>
      <c r="T6" s="38">
        <f t="shared" si="4"/>
        <v>79</v>
      </c>
      <c r="U6" s="3">
        <v>60</v>
      </c>
      <c r="V6" s="8">
        <f t="shared" si="5"/>
        <v>371.00959892208704</v>
      </c>
      <c r="W6" s="8"/>
      <c r="X6" s="11">
        <f t="shared" si="6"/>
        <v>1171.6092597539591</v>
      </c>
    </row>
    <row r="7" spans="1:24" ht="15.5" x14ac:dyDescent="0.35">
      <c r="A7" s="1">
        <v>1091</v>
      </c>
      <c r="B7" s="2" t="s">
        <v>23</v>
      </c>
      <c r="C7" s="3" t="s">
        <v>126</v>
      </c>
      <c r="D7" s="18" t="str">
        <f t="shared" si="0"/>
        <v>ago</v>
      </c>
      <c r="E7" s="5">
        <v>45870</v>
      </c>
      <c r="F7" s="6">
        <v>45885</v>
      </c>
      <c r="G7" s="7">
        <v>8</v>
      </c>
      <c r="H7" s="7">
        <v>860</v>
      </c>
      <c r="I7" s="7">
        <v>182</v>
      </c>
      <c r="J7" s="8">
        <v>19268.04</v>
      </c>
      <c r="K7" s="8">
        <f>IFERROR(((SUMIFS(MOIndirectos!$E$34:$E$132,MOIndirectos!$B$34:$B$132,"Mano de Obra",MOIndirectos!$C$34:$C$132,$D7,MOIndirectos!$D$34:$D$132,$B7))/(SUMIFS(MOIndirectos!$E$34:$E$132,MOIndirectos!$B$34:$B$132,"Produccion",MOIndirectos!$C$34:$C$132,$D7,MOIndirectos!$D$34:$D$132,$B7))*$G7),0)</f>
        <v>12253.564914046119</v>
      </c>
      <c r="L7" s="8">
        <f>IFERROR(((SUMIFS(MOIndirectos!$E$34:$E$132,MOIndirectos!$B$34:$B$132,"Indirectos",MOIndirectos!$C$34:$C$132,$D7,MOIndirectos!$D$34:$D$132,$B7))/(SUMIFS(MOIndirectos!$E$34:$E$132,MOIndirectos!$B$34:$B$132,"Produccion",MOIndirectos!$C$34:$C$132,$D7,MOIndirectos!$D$34:$D$132,$B7))*$G7),0)</f>
        <v>5069.7694709581947</v>
      </c>
      <c r="M7" s="8">
        <f t="shared" si="1"/>
        <v>36591.37438500431</v>
      </c>
      <c r="N7" s="9">
        <f t="shared" si="2"/>
        <v>42.548109750005011</v>
      </c>
      <c r="O7" s="10">
        <v>100</v>
      </c>
      <c r="P7" s="3">
        <v>60</v>
      </c>
      <c r="Q7" s="3"/>
      <c r="R7" s="3">
        <v>20</v>
      </c>
      <c r="S7" s="8">
        <f t="shared" si="3"/>
        <v>7658.6597550009019</v>
      </c>
      <c r="T7" s="7">
        <f t="shared" si="4"/>
        <v>2</v>
      </c>
      <c r="U7" s="3">
        <v>0</v>
      </c>
      <c r="V7" s="8">
        <f t="shared" si="5"/>
        <v>85.096219500010022</v>
      </c>
      <c r="W7" s="8"/>
      <c r="X7" s="11">
        <f t="shared" si="6"/>
        <v>0</v>
      </c>
    </row>
    <row r="8" spans="1:24" ht="15.5" x14ac:dyDescent="0.35">
      <c r="A8" s="1">
        <v>1092</v>
      </c>
      <c r="B8" s="2" t="s">
        <v>23</v>
      </c>
      <c r="C8" s="3" t="s">
        <v>42</v>
      </c>
      <c r="D8" s="18" t="str">
        <f t="shared" si="0"/>
        <v>ago</v>
      </c>
      <c r="E8" s="5">
        <v>45874</v>
      </c>
      <c r="F8" s="6">
        <v>45901</v>
      </c>
      <c r="G8" s="7">
        <v>4</v>
      </c>
      <c r="H8" s="7">
        <v>475</v>
      </c>
      <c r="I8" s="7">
        <v>475</v>
      </c>
      <c r="J8" s="8">
        <v>6583.16</v>
      </c>
      <c r="K8" s="8">
        <f>IFERROR(((SUMIFS(MOIndirectos!$E$34:$E$132,MOIndirectos!$B$34:$B$132,"Mano de Obra",MOIndirectos!$C$34:$C$132,$D8,MOIndirectos!$D$34:$D$132,$B8))/(SUMIFS(MOIndirectos!$E$34:$E$132,MOIndirectos!$B$34:$B$132,"Produccion",MOIndirectos!$C$34:$C$132,$D8,MOIndirectos!$D$34:$D$132,$B8))*$G8),0)</f>
        <v>6126.7824570230596</v>
      </c>
      <c r="L8" s="8">
        <f>IFERROR(((SUMIFS(MOIndirectos!$E$34:$E$132,MOIndirectos!$B$34:$B$132,"Indirectos",MOIndirectos!$C$34:$C$132,$D8,MOIndirectos!$D$34:$D$132,$B8))/(SUMIFS(MOIndirectos!$E$34:$E$132,MOIndirectos!$B$34:$B$132,"Produccion",MOIndirectos!$C$34:$C$132,$D8,MOIndirectos!$D$34:$D$132,$B8))*$G8),0)</f>
        <v>2534.8847354790973</v>
      </c>
      <c r="M8" s="8">
        <f t="shared" si="1"/>
        <v>15244.827192502156</v>
      </c>
      <c r="N8" s="9">
        <f t="shared" si="2"/>
        <v>32.094373036846648</v>
      </c>
      <c r="O8" s="10">
        <v>180</v>
      </c>
      <c r="P8" s="3">
        <v>180</v>
      </c>
      <c r="Q8" s="3"/>
      <c r="R8" s="3">
        <v>0</v>
      </c>
      <c r="S8" s="8">
        <f t="shared" si="3"/>
        <v>11553.974293264793</v>
      </c>
      <c r="T8" s="7">
        <f t="shared" si="4"/>
        <v>115</v>
      </c>
      <c r="U8" s="3">
        <v>115</v>
      </c>
      <c r="V8" s="8">
        <f t="shared" si="5"/>
        <v>0</v>
      </c>
      <c r="W8" s="8"/>
      <c r="X8" s="11">
        <f t="shared" si="6"/>
        <v>3690.8528992373645</v>
      </c>
    </row>
    <row r="9" spans="1:24" ht="15.5" x14ac:dyDescent="0.35">
      <c r="A9" s="1">
        <v>1093</v>
      </c>
      <c r="B9" s="2" t="s">
        <v>23</v>
      </c>
      <c r="C9" s="3" t="s">
        <v>35</v>
      </c>
      <c r="D9" s="18" t="str">
        <f t="shared" si="0"/>
        <v>ago</v>
      </c>
      <c r="E9" s="5">
        <v>45875</v>
      </c>
      <c r="F9" s="6">
        <v>45890</v>
      </c>
      <c r="G9" s="7">
        <v>4</v>
      </c>
      <c r="H9" s="7">
        <v>449</v>
      </c>
      <c r="I9" s="7">
        <v>209</v>
      </c>
      <c r="J9" s="8">
        <v>7281.06</v>
      </c>
      <c r="K9" s="8">
        <f>IFERROR(((SUMIFS(MOIndirectos!$E$34:$E$132,MOIndirectos!$B$34:$B$132,"Mano de Obra",MOIndirectos!$C$34:$C$132,$D9,MOIndirectos!$D$34:$D$132,$B9))/(SUMIFS(MOIndirectos!$E$34:$E$132,MOIndirectos!$B$34:$B$132,"Produccion",MOIndirectos!$C$34:$C$132,$D9,MOIndirectos!$D$34:$D$132,$B9))*$G9),0)</f>
        <v>6126.7824570230596</v>
      </c>
      <c r="L9" s="8">
        <f>IFERROR(((SUMIFS(MOIndirectos!$E$34:$E$132,MOIndirectos!$B$34:$B$132,"Indirectos",MOIndirectos!$C$34:$C$132,$D9,MOIndirectos!$D$34:$D$132,$B9))/(SUMIFS(MOIndirectos!$E$34:$E$132,MOIndirectos!$B$34:$B$132,"Produccion",MOIndirectos!$C$34:$C$132,$D9,MOIndirectos!$D$34:$D$132,$B9))*$G9),0)</f>
        <v>2534.8847354790973</v>
      </c>
      <c r="M9" s="8">
        <f t="shared" si="1"/>
        <v>15942.727192502158</v>
      </c>
      <c r="N9" s="9">
        <f t="shared" si="2"/>
        <v>35.507187511140664</v>
      </c>
      <c r="O9" s="10">
        <f>209</f>
        <v>209</v>
      </c>
      <c r="P9" s="3"/>
      <c r="Q9" s="3"/>
      <c r="R9" s="3">
        <v>0</v>
      </c>
      <c r="S9" s="8">
        <f t="shared" si="3"/>
        <v>7421.0021898283985</v>
      </c>
      <c r="T9" s="7">
        <f t="shared" si="4"/>
        <v>0</v>
      </c>
      <c r="U9" s="3">
        <v>0</v>
      </c>
      <c r="V9" s="8">
        <f t="shared" si="5"/>
        <v>0</v>
      </c>
      <c r="W9" s="8"/>
      <c r="X9" s="11">
        <f t="shared" si="6"/>
        <v>0</v>
      </c>
    </row>
    <row r="10" spans="1:24" ht="15.5" x14ac:dyDescent="0.35">
      <c r="A10" s="1" t="s">
        <v>127</v>
      </c>
      <c r="B10" s="2" t="s">
        <v>29</v>
      </c>
      <c r="C10" s="3" t="s">
        <v>39</v>
      </c>
      <c r="D10" s="18" t="str">
        <f t="shared" si="0"/>
        <v>ago</v>
      </c>
      <c r="E10" s="5">
        <v>45875</v>
      </c>
      <c r="F10" s="6">
        <v>45891</v>
      </c>
      <c r="G10" s="7">
        <v>20</v>
      </c>
      <c r="H10" s="7">
        <v>2557</v>
      </c>
      <c r="I10" s="7">
        <v>1237</v>
      </c>
      <c r="J10" s="8">
        <v>19288.71</v>
      </c>
      <c r="K10" s="8">
        <f>IFERROR(((SUMIFS(MOIndirectos!$E$34:$E$132,MOIndirectos!$B$34:$B$132,"Mano de Obra",MOIndirectos!$C$34:$C$132,$D10,MOIndirectos!$D$34:$D$132,$B10))/(SUMIFS(MOIndirectos!$E$34:$E$132,MOIndirectos!$B$34:$B$132,"Produccion",MOIndirectos!$C$34:$C$132,$D10,MOIndirectos!$D$34:$D$132,$B10))*$G10),0)</f>
        <v>18074.854488888883</v>
      </c>
      <c r="L10" s="8">
        <f>IFERROR(((SUMIFS(MOIndirectos!$E$34:$E$132,MOIndirectos!$B$34:$B$132,"Indirectos",MOIndirectos!$C$34:$C$132,$D10,MOIndirectos!$D$34:$D$132,$B10))/(SUMIFS(MOIndirectos!$E$34:$E$132,MOIndirectos!$B$34:$B$132,"Produccion",MOIndirectos!$C$34:$C$132,$D10,MOIndirectos!$D$34:$D$132,$B10))*$G10),0)</f>
        <v>17258.289450980392</v>
      </c>
      <c r="M10" s="8">
        <f t="shared" si="1"/>
        <v>54621.853939869266</v>
      </c>
      <c r="N10" s="9">
        <f t="shared" si="2"/>
        <v>21.361694931509295</v>
      </c>
      <c r="O10" s="10">
        <f>776</f>
        <v>776</v>
      </c>
      <c r="P10" s="3">
        <v>240</v>
      </c>
      <c r="Q10" s="3"/>
      <c r="R10" s="3">
        <f>200+20</f>
        <v>220</v>
      </c>
      <c r="S10" s="8">
        <f t="shared" si="3"/>
        <v>26403.054935345488</v>
      </c>
      <c r="T10" s="7">
        <f t="shared" si="4"/>
        <v>1</v>
      </c>
      <c r="U10" s="3">
        <v>0</v>
      </c>
      <c r="V10" s="8">
        <f t="shared" si="5"/>
        <v>21.361694931509295</v>
      </c>
      <c r="W10" s="8"/>
      <c r="X10" s="11">
        <f t="shared" si="6"/>
        <v>0</v>
      </c>
    </row>
    <row r="11" spans="1:24" ht="15.5" x14ac:dyDescent="0.35">
      <c r="A11" s="1">
        <v>1094</v>
      </c>
      <c r="B11" s="2" t="s">
        <v>23</v>
      </c>
      <c r="C11" s="3" t="s">
        <v>56</v>
      </c>
      <c r="D11" s="18" t="str">
        <f t="shared" si="0"/>
        <v>ago</v>
      </c>
      <c r="E11" s="5">
        <v>45877</v>
      </c>
      <c r="F11" s="6">
        <v>45894</v>
      </c>
      <c r="G11" s="7">
        <v>6</v>
      </c>
      <c r="H11" s="7">
        <v>691</v>
      </c>
      <c r="I11" s="7">
        <v>691</v>
      </c>
      <c r="J11" s="17">
        <v>24586.720000000001</v>
      </c>
      <c r="K11" s="8">
        <f>IFERROR(((SUMIFS(MOIndirectos!$E$34:$E$132,MOIndirectos!$B$34:$B$132,"Mano de Obra",MOIndirectos!$C$34:$C$132,$D11,MOIndirectos!$D$34:$D$132,$B11))/(SUMIFS(MOIndirectos!$E$34:$E$132,MOIndirectos!$B$34:$B$132,"Produccion",MOIndirectos!$C$34:$C$132,$D11,MOIndirectos!$D$34:$D$132,$B11))*$G11),0)</f>
        <v>9190.1736855345898</v>
      </c>
      <c r="L11" s="8">
        <f>IFERROR(((SUMIFS(MOIndirectos!$E$34:$E$132,MOIndirectos!$B$34:$B$132,"Indirectos",MOIndirectos!$C$34:$C$132,$D11,MOIndirectos!$D$34:$D$132,$B11))/(SUMIFS(MOIndirectos!$E$34:$E$132,MOIndirectos!$B$34:$B$132,"Produccion",MOIndirectos!$C$34:$C$132,$D11,MOIndirectos!$D$34:$D$132,$B11))*$G11),0)</f>
        <v>3802.3271032186458</v>
      </c>
      <c r="M11" s="8">
        <f t="shared" si="1"/>
        <v>37579.220788753235</v>
      </c>
      <c r="N11" s="9">
        <f t="shared" si="2"/>
        <v>54.383821691393969</v>
      </c>
      <c r="O11" s="10">
        <f>180+197</f>
        <v>377</v>
      </c>
      <c r="P11" s="3">
        <f>151</f>
        <v>151</v>
      </c>
      <c r="Q11" s="3"/>
      <c r="R11" s="3">
        <v>100</v>
      </c>
      <c r="S11" s="8">
        <f t="shared" si="3"/>
        <v>34153.040022195411</v>
      </c>
      <c r="T11" s="7">
        <f t="shared" si="4"/>
        <v>63</v>
      </c>
      <c r="U11" s="3">
        <v>60</v>
      </c>
      <c r="V11" s="8">
        <f t="shared" si="5"/>
        <v>163.15146507418191</v>
      </c>
      <c r="W11" s="8"/>
      <c r="X11" s="11">
        <f t="shared" si="6"/>
        <v>3263.0293014836379</v>
      </c>
    </row>
    <row r="12" spans="1:24" ht="15.5" x14ac:dyDescent="0.35">
      <c r="A12" s="1">
        <v>1095</v>
      </c>
      <c r="B12" s="2" t="s">
        <v>23</v>
      </c>
      <c r="C12" s="3" t="s">
        <v>49</v>
      </c>
      <c r="D12" s="18" t="str">
        <f t="shared" si="0"/>
        <v>ago</v>
      </c>
      <c r="E12" s="5">
        <v>45882</v>
      </c>
      <c r="F12" s="6">
        <v>45904</v>
      </c>
      <c r="G12" s="7">
        <v>3</v>
      </c>
      <c r="H12" s="7">
        <v>360</v>
      </c>
      <c r="I12" s="7">
        <v>360</v>
      </c>
      <c r="J12" s="8">
        <v>10025.56</v>
      </c>
      <c r="K12" s="8">
        <f>IFERROR(((SUMIFS(MOIndirectos!$E$34:$E$132,MOIndirectos!$B$34:$B$132,"Mano de Obra",MOIndirectos!$C$34:$C$132,$D12,MOIndirectos!$D$34:$D$132,$B12))/(SUMIFS(MOIndirectos!$E$34:$E$132,MOIndirectos!$B$34:$B$132,"Produccion",MOIndirectos!$C$34:$C$132,$D12,MOIndirectos!$D$34:$D$132,$B12))*$G12),0)</f>
        <v>4595.0868427672949</v>
      </c>
      <c r="L12" s="8">
        <f>IFERROR(((SUMIFS(MOIndirectos!$E$34:$E$132,MOIndirectos!$B$34:$B$132,"Indirectos",MOIndirectos!$C$34:$C$132,$D12,MOIndirectos!$D$34:$D$132,$B12))/(SUMIFS(MOIndirectos!$E$34:$E$132,MOIndirectos!$B$34:$B$132,"Produccion",MOIndirectos!$C$34:$C$132,$D12,MOIndirectos!$D$34:$D$132,$B12))*$G12),0)</f>
        <v>1901.1635516093229</v>
      </c>
      <c r="M12" s="8">
        <f t="shared" si="1"/>
        <v>16521.810394376618</v>
      </c>
      <c r="N12" s="9">
        <f t="shared" si="2"/>
        <v>45.893917762157272</v>
      </c>
      <c r="O12" s="10">
        <v>180</v>
      </c>
      <c r="P12" s="3"/>
      <c r="Q12" s="3"/>
      <c r="R12" s="3">
        <v>20</v>
      </c>
      <c r="S12" s="8">
        <f t="shared" si="3"/>
        <v>9178.7835524314542</v>
      </c>
      <c r="T12" s="7">
        <f t="shared" si="4"/>
        <v>160</v>
      </c>
      <c r="U12" s="3">
        <v>160</v>
      </c>
      <c r="V12" s="8">
        <f t="shared" si="5"/>
        <v>0</v>
      </c>
      <c r="W12" s="8"/>
      <c r="X12" s="11">
        <f t="shared" si="6"/>
        <v>7343.0268419451641</v>
      </c>
    </row>
    <row r="13" spans="1:24" ht="15.5" x14ac:dyDescent="0.35">
      <c r="A13" s="1">
        <v>1096</v>
      </c>
      <c r="B13" s="2" t="s">
        <v>23</v>
      </c>
      <c r="C13" s="3" t="s">
        <v>35</v>
      </c>
      <c r="D13" s="18" t="str">
        <f t="shared" si="0"/>
        <v>ago</v>
      </c>
      <c r="E13" s="5">
        <v>45884</v>
      </c>
      <c r="F13" s="6">
        <v>45896</v>
      </c>
      <c r="G13" s="7">
        <v>3</v>
      </c>
      <c r="H13" s="7">
        <v>393</v>
      </c>
      <c r="I13" s="7">
        <v>373</v>
      </c>
      <c r="J13" s="8">
        <v>4629.1000000000004</v>
      </c>
      <c r="K13" s="8">
        <f>IFERROR(((SUMIFS(MOIndirectos!$E$34:$E$132,MOIndirectos!$B$34:$B$132,"Mano de Obra",MOIndirectos!$C$34:$C$132,$D13,MOIndirectos!$D$34:$D$132,$B13))/(SUMIFS(MOIndirectos!$E$34:$E$132,MOIndirectos!$B$34:$B$132,"Produccion",MOIndirectos!$C$34:$C$132,$D13,MOIndirectos!$D$34:$D$132,$B13))*$G13),0)</f>
        <v>4595.0868427672949</v>
      </c>
      <c r="L13" s="8">
        <f>IFERROR(((SUMIFS(MOIndirectos!$E$34:$E$132,MOIndirectos!$B$34:$B$132,"Indirectos",MOIndirectos!$C$34:$C$132,$D13,MOIndirectos!$D$34:$D$132,$B13))/(SUMIFS(MOIndirectos!$E$34:$E$132,MOIndirectos!$B$34:$B$132,"Produccion",MOIndirectos!$C$34:$C$132,$D13,MOIndirectos!$D$34:$D$132,$B13))*$G13),0)</f>
        <v>1901.1635516093229</v>
      </c>
      <c r="M13" s="8">
        <f t="shared" si="1"/>
        <v>11125.350394376619</v>
      </c>
      <c r="N13" s="9">
        <f t="shared" si="2"/>
        <v>28.308779629457046</v>
      </c>
      <c r="O13" s="10">
        <v>176</v>
      </c>
      <c r="P13" s="3"/>
      <c r="Q13" s="3"/>
      <c r="R13" s="3">
        <v>120</v>
      </c>
      <c r="S13" s="8">
        <f t="shared" si="3"/>
        <v>8379.3987703192852</v>
      </c>
      <c r="T13" s="7">
        <f t="shared" si="4"/>
        <v>77</v>
      </c>
      <c r="U13" s="3">
        <v>77</v>
      </c>
      <c r="V13" s="8">
        <f t="shared" si="5"/>
        <v>0</v>
      </c>
      <c r="W13" s="8"/>
      <c r="X13" s="11">
        <f t="shared" si="6"/>
        <v>2179.7760314681927</v>
      </c>
    </row>
    <row r="14" spans="1:24" ht="15.5" x14ac:dyDescent="0.35">
      <c r="A14" s="1" t="s">
        <v>128</v>
      </c>
      <c r="B14" s="2" t="s">
        <v>29</v>
      </c>
      <c r="C14" s="3" t="s">
        <v>34</v>
      </c>
      <c r="D14" s="18" t="str">
        <f t="shared" si="0"/>
        <v>ago</v>
      </c>
      <c r="E14" s="5">
        <v>45884</v>
      </c>
      <c r="F14" s="6">
        <v>45898</v>
      </c>
      <c r="G14" s="7">
        <v>40</v>
      </c>
      <c r="H14" s="7">
        <v>4470</v>
      </c>
      <c r="I14" s="7">
        <v>3820</v>
      </c>
      <c r="J14" s="8">
        <v>88535.23</v>
      </c>
      <c r="K14" s="8">
        <f>IFERROR(((SUMIFS(MOIndirectos!$E$34:$E$132,MOIndirectos!$B$34:$B$132,"Mano de Obra",MOIndirectos!$C$34:$C$132,$D14,MOIndirectos!$D$34:$D$132,$B14))/(SUMIFS(MOIndirectos!$E$34:$E$132,MOIndirectos!$B$34:$B$132,"Produccion",MOIndirectos!$C$34:$C$132,$D14,MOIndirectos!$D$34:$D$132,$B14))*$G14),0)</f>
        <v>36149.708977777766</v>
      </c>
      <c r="L14" s="8">
        <f>IFERROR(((SUMIFS(MOIndirectos!$E$34:$E$132,MOIndirectos!$B$34:$B$132,"Indirectos",MOIndirectos!$C$34:$C$132,$D14,MOIndirectos!$D$34:$D$132,$B14))/(SUMIFS(MOIndirectos!$E$34:$E$132,MOIndirectos!$B$34:$B$132,"Produccion",MOIndirectos!$C$34:$C$132,$D14,MOIndirectos!$D$34:$D$132,$B14))*$G14),0)</f>
        <v>34516.578901960784</v>
      </c>
      <c r="M14" s="8">
        <f t="shared" si="1"/>
        <v>159201.51787973853</v>
      </c>
      <c r="N14" s="9">
        <f t="shared" si="2"/>
        <v>35.61555209837551</v>
      </c>
      <c r="O14" s="10">
        <f>1112+574</f>
        <v>1686</v>
      </c>
      <c r="P14" s="3">
        <f>540+357</f>
        <v>897</v>
      </c>
      <c r="Q14" s="3">
        <f>150</f>
        <v>150</v>
      </c>
      <c r="R14" s="3">
        <v>1090</v>
      </c>
      <c r="S14" s="8">
        <f t="shared" si="3"/>
        <v>136158.25567208958</v>
      </c>
      <c r="T14" s="7">
        <f t="shared" si="4"/>
        <v>-3</v>
      </c>
      <c r="U14" s="3">
        <v>0</v>
      </c>
      <c r="V14" s="8">
        <f t="shared" si="5"/>
        <v>-106.84665629512654</v>
      </c>
      <c r="W14" s="8"/>
      <c r="X14" s="11">
        <f t="shared" si="6"/>
        <v>0</v>
      </c>
    </row>
    <row r="15" spans="1:24" ht="15.5" x14ac:dyDescent="0.35">
      <c r="A15" s="1">
        <v>1097</v>
      </c>
      <c r="B15" s="2" t="s">
        <v>23</v>
      </c>
      <c r="C15" s="3" t="s">
        <v>24</v>
      </c>
      <c r="D15" s="18" t="str">
        <f t="shared" si="0"/>
        <v>ago</v>
      </c>
      <c r="E15" s="5">
        <v>45889</v>
      </c>
      <c r="F15" s="6">
        <v>45902</v>
      </c>
      <c r="G15" s="7">
        <v>8</v>
      </c>
      <c r="H15" s="7">
        <v>900</v>
      </c>
      <c r="I15" s="7">
        <v>900</v>
      </c>
      <c r="J15" s="17">
        <v>16635.925000000003</v>
      </c>
      <c r="K15" s="8">
        <f>IFERROR(((SUMIFS(MOIndirectos!$E$34:$E$132,MOIndirectos!$B$34:$B$132,"Mano de Obra",MOIndirectos!$C$34:$C$132,$D15,MOIndirectos!$D$34:$D$132,$B15))/(SUMIFS(MOIndirectos!$E$34:$E$132,MOIndirectos!$B$34:$B$132,"Produccion",MOIndirectos!$C$34:$C$132,$D15,MOIndirectos!$D$34:$D$132,$B15))*$G15),0)</f>
        <v>12253.564914046119</v>
      </c>
      <c r="L15" s="8">
        <f>IFERROR(((SUMIFS(MOIndirectos!$E$34:$E$132,MOIndirectos!$B$34:$B$132,"Indirectos",MOIndirectos!$C$34:$C$132,$D15,MOIndirectos!$D$34:$D$132,$B15))/(SUMIFS(MOIndirectos!$E$34:$E$132,MOIndirectos!$B$34:$B$132,"Produccion",MOIndirectos!$C$34:$C$132,$D15,MOIndirectos!$D$34:$D$132,$B15))*$G15),0)</f>
        <v>5069.7694709581947</v>
      </c>
      <c r="M15" s="8">
        <f t="shared" si="1"/>
        <v>33959.259385004312</v>
      </c>
      <c r="N15" s="9">
        <f t="shared" si="2"/>
        <v>37.732510427782572</v>
      </c>
      <c r="O15" s="10">
        <f>338+255</f>
        <v>593</v>
      </c>
      <c r="P15" s="3">
        <f>60+120</f>
        <v>180</v>
      </c>
      <c r="Q15" s="3"/>
      <c r="R15" s="3">
        <v>120</v>
      </c>
      <c r="S15" s="8">
        <f t="shared" si="3"/>
        <v>33695.131812009837</v>
      </c>
      <c r="T15" s="7">
        <f t="shared" si="4"/>
        <v>7</v>
      </c>
      <c r="U15" s="3">
        <v>0</v>
      </c>
      <c r="V15" s="8">
        <f t="shared" si="5"/>
        <v>264.12757299447799</v>
      </c>
      <c r="W15" s="8"/>
      <c r="X15" s="11">
        <f t="shared" si="6"/>
        <v>0</v>
      </c>
    </row>
    <row r="16" spans="1:24" ht="15.5" x14ac:dyDescent="0.35">
      <c r="A16" s="1" t="s">
        <v>129</v>
      </c>
      <c r="B16" s="2" t="s">
        <v>29</v>
      </c>
      <c r="C16" s="3" t="s">
        <v>130</v>
      </c>
      <c r="D16" s="18" t="str">
        <f t="shared" si="0"/>
        <v>ago</v>
      </c>
      <c r="E16" s="5">
        <v>45889</v>
      </c>
      <c r="F16" s="6">
        <v>45909</v>
      </c>
      <c r="G16" s="7">
        <v>20</v>
      </c>
      <c r="H16" s="7">
        <v>2422</v>
      </c>
      <c r="I16" s="7">
        <v>2422</v>
      </c>
      <c r="J16" s="19">
        <f>51982.33-9990.52-16669.29-21216.27</f>
        <v>4106.2499999999964</v>
      </c>
      <c r="K16" s="8">
        <f>IFERROR(((SUMIFS(MOIndirectos!$E$34:$E$132,MOIndirectos!$B$34:$B$132,"Mano de Obra",MOIndirectos!$C$34:$C$132,$D16,MOIndirectos!$D$34:$D$132,$B16))/(SUMIFS(MOIndirectos!$E$34:$E$132,MOIndirectos!$B$34:$B$132,"Produccion",MOIndirectos!$C$34:$C$132,$D16,MOIndirectos!$D$34:$D$132,$B16))*$G16),0)</f>
        <v>18074.854488888883</v>
      </c>
      <c r="L16" s="8">
        <f>IFERROR(((SUMIFS(MOIndirectos!$E$34:$E$132,MOIndirectos!$B$34:$B$132,"Indirectos",MOIndirectos!$C$34:$C$132,$D16,MOIndirectos!$D$34:$D$132,$B16))/(SUMIFS(MOIndirectos!$E$34:$E$132,MOIndirectos!$B$34:$B$132,"Produccion",MOIndirectos!$C$34:$C$132,$D16,MOIndirectos!$D$34:$D$132,$B16))*$G16),0)</f>
        <v>17258.289450980392</v>
      </c>
      <c r="M16" s="8">
        <f t="shared" si="1"/>
        <v>39439.393939869275</v>
      </c>
      <c r="N16" s="9">
        <f t="shared" si="2"/>
        <v>16.28381252678335</v>
      </c>
      <c r="O16" s="10">
        <v>344</v>
      </c>
      <c r="P16" s="3">
        <f>60+180</f>
        <v>240</v>
      </c>
      <c r="Q16" s="3">
        <f>180</f>
        <v>180</v>
      </c>
      <c r="R16" s="3">
        <v>20</v>
      </c>
      <c r="S16" s="8">
        <f t="shared" si="3"/>
        <v>12766.509020998146</v>
      </c>
      <c r="T16" s="7">
        <f t="shared" si="4"/>
        <v>1638</v>
      </c>
      <c r="U16" s="3">
        <v>1638</v>
      </c>
      <c r="V16" s="8">
        <f t="shared" si="5"/>
        <v>0</v>
      </c>
      <c r="W16" s="8"/>
      <c r="X16" s="11">
        <f t="shared" si="6"/>
        <v>26672.884918871128</v>
      </c>
    </row>
    <row r="17" spans="1:24" ht="15.5" x14ac:dyDescent="0.35">
      <c r="A17" s="1">
        <v>1098</v>
      </c>
      <c r="B17" s="2" t="s">
        <v>23</v>
      </c>
      <c r="C17" s="3" t="s">
        <v>97</v>
      </c>
      <c r="D17" s="18" t="str">
        <f t="shared" si="0"/>
        <v>ago</v>
      </c>
      <c r="E17" s="5">
        <v>45891</v>
      </c>
      <c r="F17" s="6">
        <v>45910</v>
      </c>
      <c r="G17" s="7">
        <v>3</v>
      </c>
      <c r="H17" s="7">
        <v>380</v>
      </c>
      <c r="I17" s="7">
        <v>380</v>
      </c>
      <c r="J17" s="17">
        <v>18194.095000000001</v>
      </c>
      <c r="K17" s="8">
        <f>IFERROR(((SUMIFS(MOIndirectos!$E$34:$E$132,MOIndirectos!$B$34:$B$132,"Mano de Obra",MOIndirectos!$C$34:$C$132,$D17,MOIndirectos!$D$34:$D$132,$B17))/(SUMIFS(MOIndirectos!$E$34:$E$132,MOIndirectos!$B$34:$B$132,"Produccion",MOIndirectos!$C$34:$C$132,$D17,MOIndirectos!$D$34:$D$132,$B17))*$G17),0)</f>
        <v>4595.0868427672949</v>
      </c>
      <c r="L17" s="8">
        <f>IFERROR(((SUMIFS(MOIndirectos!$E$34:$E$132,MOIndirectos!$B$34:$B$132,"Indirectos",MOIndirectos!$C$34:$C$132,$D17,MOIndirectos!$D$34:$D$132,$B17))/(SUMIFS(MOIndirectos!$E$34:$E$132,MOIndirectos!$B$34:$B$132,"Produccion",MOIndirectos!$C$34:$C$132,$D17,MOIndirectos!$D$34:$D$132,$B17))*$G17),0)</f>
        <v>1901.1635516093229</v>
      </c>
      <c r="M17" s="8">
        <f t="shared" si="1"/>
        <v>24690.345394376618</v>
      </c>
      <c r="N17" s="9">
        <f t="shared" si="2"/>
        <v>64.974593143096357</v>
      </c>
      <c r="O17" s="10">
        <v>240</v>
      </c>
      <c r="P17" s="3">
        <v>80</v>
      </c>
      <c r="Q17" s="3"/>
      <c r="R17" s="3">
        <v>0</v>
      </c>
      <c r="S17" s="8">
        <f t="shared" si="3"/>
        <v>20791.869805790833</v>
      </c>
      <c r="T17" s="7">
        <f t="shared" si="4"/>
        <v>60</v>
      </c>
      <c r="U17" s="3">
        <v>60</v>
      </c>
      <c r="V17" s="8">
        <f t="shared" si="5"/>
        <v>0</v>
      </c>
      <c r="W17" s="8"/>
      <c r="X17" s="11">
        <f t="shared" si="6"/>
        <v>3898.4755885857812</v>
      </c>
    </row>
    <row r="18" spans="1:24" ht="15.5" x14ac:dyDescent="0.35">
      <c r="A18" s="1">
        <v>1099</v>
      </c>
      <c r="B18" s="2" t="s">
        <v>23</v>
      </c>
      <c r="C18" s="3" t="s">
        <v>56</v>
      </c>
      <c r="D18" s="18" t="str">
        <f t="shared" si="0"/>
        <v>ago</v>
      </c>
      <c r="E18" s="5">
        <v>45895</v>
      </c>
      <c r="F18" s="6">
        <v>45913</v>
      </c>
      <c r="G18" s="7">
        <v>3</v>
      </c>
      <c r="H18" s="7">
        <v>360</v>
      </c>
      <c r="I18" s="7">
        <v>360</v>
      </c>
      <c r="J18" s="17">
        <v>11650.47</v>
      </c>
      <c r="K18" s="8">
        <f>IFERROR(((SUMIFS(MOIndirectos!$E$34:$E$132,MOIndirectos!$B$34:$B$132,"Mano de Obra",MOIndirectos!$C$34:$C$132,$D18,MOIndirectos!$D$34:$D$132,$B18))/(SUMIFS(MOIndirectos!$E$34:$E$132,MOIndirectos!$B$34:$B$132,"Produccion",MOIndirectos!$C$34:$C$132,$D18,MOIndirectos!$D$34:$D$132,$B18))*$G18),0)</f>
        <v>4595.0868427672949</v>
      </c>
      <c r="L18" s="8">
        <f>IFERROR(((SUMIFS(MOIndirectos!$E$34:$E$132,MOIndirectos!$B$34:$B$132,"Indirectos",MOIndirectos!$C$34:$C$132,$D18,MOIndirectos!$D$34:$D$132,$B18))/(SUMIFS(MOIndirectos!$E$34:$E$132,MOIndirectos!$B$34:$B$132,"Produccion",MOIndirectos!$C$34:$C$132,$D18,MOIndirectos!$D$34:$D$132,$B18))*$G18),0)</f>
        <v>1901.1635516093229</v>
      </c>
      <c r="M18" s="8">
        <f t="shared" si="1"/>
        <v>18146.720394376618</v>
      </c>
      <c r="N18" s="9">
        <f t="shared" si="2"/>
        <v>50.407556651046164</v>
      </c>
      <c r="O18" s="10">
        <f>120+60</f>
        <v>180</v>
      </c>
      <c r="P18" s="3"/>
      <c r="Q18" s="3"/>
      <c r="R18" s="3">
        <v>0</v>
      </c>
      <c r="S18" s="8">
        <f t="shared" si="3"/>
        <v>9073.360197188309</v>
      </c>
      <c r="T18" s="7">
        <f t="shared" si="4"/>
        <v>180</v>
      </c>
      <c r="U18" s="3">
        <v>180</v>
      </c>
      <c r="V18" s="8">
        <f t="shared" si="5"/>
        <v>0</v>
      </c>
      <c r="W18" s="8"/>
      <c r="X18" s="11">
        <f t="shared" si="6"/>
        <v>9073.360197188309</v>
      </c>
    </row>
    <row r="19" spans="1:24" ht="15.5" x14ac:dyDescent="0.35">
      <c r="A19" s="1" t="s">
        <v>131</v>
      </c>
      <c r="B19" s="2" t="s">
        <v>29</v>
      </c>
      <c r="C19" s="3" t="s">
        <v>39</v>
      </c>
      <c r="D19" s="18" t="str">
        <f t="shared" si="0"/>
        <v>ago</v>
      </c>
      <c r="E19" s="5">
        <v>45896</v>
      </c>
      <c r="F19" s="6">
        <v>45912</v>
      </c>
      <c r="G19" s="7">
        <v>20</v>
      </c>
      <c r="H19" s="7">
        <v>2558</v>
      </c>
      <c r="I19" s="7"/>
      <c r="J19" s="8">
        <v>15223.37</v>
      </c>
      <c r="K19" s="8">
        <f>IFERROR(((SUMIFS(MOIndirectos!$E$34:$E$132,MOIndirectos!$B$34:$B$132,"Mano de Obra",MOIndirectos!$C$34:$C$132,$D19,MOIndirectos!$D$34:$D$132,$B19))/(SUMIFS(MOIndirectos!$E$34:$E$132,MOIndirectos!$B$34:$B$132,"Produccion",MOIndirectos!$C$34:$C$132,$D19,MOIndirectos!$D$34:$D$132,$B19))*$G19),0)</f>
        <v>18074.854488888883</v>
      </c>
      <c r="L19" s="8">
        <f>IFERROR(((SUMIFS(MOIndirectos!$E$34:$E$132,MOIndirectos!$B$34:$B$132,"Indirectos",MOIndirectos!$C$34:$C$132,$D19,MOIndirectos!$D$34:$D$132,$B19))/(SUMIFS(MOIndirectos!$E$34:$E$132,MOIndirectos!$B$34:$B$132,"Produccion",MOIndirectos!$C$34:$C$132,$D19,MOIndirectos!$D$34:$D$132,$B19))*$G19),0)</f>
        <v>17258.289450980392</v>
      </c>
      <c r="M19" s="8">
        <f t="shared" si="1"/>
        <v>50556.51393986927</v>
      </c>
      <c r="N19" s="9">
        <f t="shared" si="2"/>
        <v>19.764078944436775</v>
      </c>
      <c r="O19" s="10">
        <v>1342</v>
      </c>
      <c r="P19" s="3">
        <f>180</f>
        <v>180</v>
      </c>
      <c r="Q19" s="3">
        <v>120</v>
      </c>
      <c r="R19" s="39">
        <v>240</v>
      </c>
      <c r="S19" s="8">
        <f t="shared" si="3"/>
        <v>37195.996573430013</v>
      </c>
      <c r="T19" s="38">
        <f t="shared" si="4"/>
        <v>676</v>
      </c>
      <c r="U19" s="3">
        <v>676</v>
      </c>
      <c r="V19" s="8">
        <f t="shared" si="5"/>
        <v>0</v>
      </c>
      <c r="W19" s="8"/>
      <c r="X19" s="11">
        <f t="shared" si="6"/>
        <v>13360.517366439261</v>
      </c>
    </row>
    <row r="20" spans="1:24" ht="15.5" x14ac:dyDescent="0.35">
      <c r="A20" s="1">
        <v>1100</v>
      </c>
      <c r="B20" s="2" t="s">
        <v>23</v>
      </c>
      <c r="C20" s="3" t="s">
        <v>132</v>
      </c>
      <c r="D20" s="18" t="str">
        <f t="shared" si="0"/>
        <v>ago</v>
      </c>
      <c r="E20" s="5">
        <v>45897</v>
      </c>
      <c r="F20" s="6">
        <v>45930</v>
      </c>
      <c r="G20" s="7">
        <v>8</v>
      </c>
      <c r="H20" s="7">
        <v>920</v>
      </c>
      <c r="I20" s="7"/>
      <c r="J20" s="8">
        <v>14985.1</v>
      </c>
      <c r="K20" s="8">
        <f>IFERROR(((SUMIFS(MOIndirectos!$E$34:$E$132,MOIndirectos!$B$34:$B$132,"Mano de Obra",MOIndirectos!$C$34:$C$132,$D20,MOIndirectos!$D$34:$D$132,$B20))/(SUMIFS(MOIndirectos!$E$34:$E$132,MOIndirectos!$B$34:$B$132,"Produccion",MOIndirectos!$C$34:$C$132,$D20,MOIndirectos!$D$34:$D$132,$B20))*$G20),0)</f>
        <v>12253.564914046119</v>
      </c>
      <c r="L20" s="8">
        <f>IFERROR(((SUMIFS(MOIndirectos!$E$34:$E$132,MOIndirectos!$B$34:$B$132,"Indirectos",MOIndirectos!$C$34:$C$132,$D20,MOIndirectos!$D$34:$D$132,$B20))/(SUMIFS(MOIndirectos!$E$34:$E$132,MOIndirectos!$B$34:$B$132,"Produccion",MOIndirectos!$C$34:$C$132,$D20,MOIndirectos!$D$34:$D$132,$B20))*$G20),0)</f>
        <v>5069.7694709581947</v>
      </c>
      <c r="M20" s="8">
        <f t="shared" si="1"/>
        <v>32308.434385004315</v>
      </c>
      <c r="N20" s="9">
        <f t="shared" si="2"/>
        <v>35.117863461961214</v>
      </c>
      <c r="O20" s="10">
        <v>0</v>
      </c>
      <c r="P20" s="3"/>
      <c r="Q20" s="3"/>
      <c r="R20" s="3">
        <v>0</v>
      </c>
      <c r="S20" s="8">
        <f t="shared" si="3"/>
        <v>0</v>
      </c>
      <c r="T20" s="7">
        <f t="shared" si="4"/>
        <v>920</v>
      </c>
      <c r="U20" s="3">
        <v>920</v>
      </c>
      <c r="V20" s="8">
        <f t="shared" si="5"/>
        <v>0</v>
      </c>
      <c r="W20" s="8"/>
      <c r="X20" s="11">
        <f t="shared" si="6"/>
        <v>32308.434385004315</v>
      </c>
    </row>
    <row r="21" spans="1:24" ht="15.5" x14ac:dyDescent="0.35">
      <c r="A21" s="1">
        <v>1101</v>
      </c>
      <c r="B21" s="2" t="s">
        <v>23</v>
      </c>
      <c r="C21" s="3" t="s">
        <v>32</v>
      </c>
      <c r="D21" s="18" t="str">
        <f t="shared" si="0"/>
        <v>ago</v>
      </c>
      <c r="E21" s="5">
        <v>45898</v>
      </c>
      <c r="F21" s="6">
        <v>45929</v>
      </c>
      <c r="G21" s="7">
        <v>3</v>
      </c>
      <c r="H21" s="7">
        <v>349</v>
      </c>
      <c r="I21" s="7"/>
      <c r="J21" s="8">
        <v>11237.41</v>
      </c>
      <c r="K21" s="8">
        <f>IFERROR(((SUMIFS(MOIndirectos!$E$34:$E$132,MOIndirectos!$B$34:$B$132,"Mano de Obra",MOIndirectos!$C$34:$C$132,$D21,MOIndirectos!$D$34:$D$132,$B21))/(SUMIFS(MOIndirectos!$E$34:$E$132,MOIndirectos!$B$34:$B$132,"Produccion",MOIndirectos!$C$34:$C$132,$D21,MOIndirectos!$D$34:$D$132,$B21))*$G21),0)</f>
        <v>4595.0868427672949</v>
      </c>
      <c r="L21" s="8">
        <f>IFERROR(((SUMIFS(MOIndirectos!$E$34:$E$132,MOIndirectos!$B$34:$B$132,"Indirectos",MOIndirectos!$C$34:$C$132,$D21,MOIndirectos!$D$34:$D$132,$B21))/(SUMIFS(MOIndirectos!$E$34:$E$132,MOIndirectos!$B$34:$B$132,"Produccion",MOIndirectos!$C$34:$C$132,$D21,MOIndirectos!$D$34:$D$132,$B21))*$G21),0)</f>
        <v>1901.1635516093229</v>
      </c>
      <c r="M21" s="8">
        <f t="shared" si="1"/>
        <v>17733.660394376617</v>
      </c>
      <c r="N21" s="9">
        <f t="shared" si="2"/>
        <v>50.812780499646465</v>
      </c>
      <c r="O21" s="10">
        <v>0</v>
      </c>
      <c r="P21" s="3"/>
      <c r="Q21" s="3"/>
      <c r="R21" s="3">
        <v>0</v>
      </c>
      <c r="S21" s="8">
        <f t="shared" si="3"/>
        <v>0</v>
      </c>
      <c r="T21" s="7">
        <f t="shared" si="4"/>
        <v>349</v>
      </c>
      <c r="U21" s="3">
        <v>349</v>
      </c>
      <c r="V21" s="8">
        <f t="shared" si="5"/>
        <v>0</v>
      </c>
      <c r="W21" s="8"/>
      <c r="X21" s="11">
        <f t="shared" si="6"/>
        <v>17733.660394376617</v>
      </c>
    </row>
    <row r="22" spans="1:24" ht="15.5" x14ac:dyDescent="0.35">
      <c r="A22" s="1">
        <v>1102</v>
      </c>
      <c r="B22" s="2" t="s">
        <v>23</v>
      </c>
      <c r="C22" s="3" t="s">
        <v>35</v>
      </c>
      <c r="D22" s="18" t="str">
        <f t="shared" si="0"/>
        <v>sep</v>
      </c>
      <c r="E22" s="5">
        <v>45902</v>
      </c>
      <c r="F22" s="6">
        <v>45919</v>
      </c>
      <c r="G22" s="7">
        <v>4</v>
      </c>
      <c r="H22" s="7">
        <v>480</v>
      </c>
      <c r="I22" s="7"/>
      <c r="J22" s="8">
        <v>7016.63</v>
      </c>
      <c r="K22" s="8">
        <f>IFERROR(((SUMIFS(MOIndirectos!$E$34:$E$132,MOIndirectos!$B$34:$B$132,"Mano de Obra",MOIndirectos!$C$34:$C$132,$D22,MOIndirectos!$D$34:$D$132,$B22))/(SUMIFS(MOIndirectos!$E$34:$E$132,MOIndirectos!$B$34:$B$132,"Produccion",MOIndirectos!$C$34:$C$132,$D22,MOIndirectos!$D$34:$D$132,$B22))*$G22),0)</f>
        <v>8487.9730006930022</v>
      </c>
      <c r="L22" s="8">
        <f>IFERROR(((SUMIFS(MOIndirectos!$E$34:$E$132,MOIndirectos!$B$34:$B$132,"Indirectos",MOIndirectos!$C$34:$C$132,$D22,MOIndirectos!$D$34:$D$132,$B22))/(SUMIFS(MOIndirectos!$E$34:$E$132,MOIndirectos!$B$34:$B$132,"Produccion",MOIndirectos!$C$34:$C$132,$D22,MOIndirectos!$D$34:$D$132,$B22))*$G22),0)</f>
        <v>3505.3979579579577</v>
      </c>
      <c r="M22" s="8">
        <f t="shared" si="1"/>
        <v>19010.000958650959</v>
      </c>
      <c r="N22" s="9">
        <f t="shared" si="2"/>
        <v>39.604168663856164</v>
      </c>
      <c r="O22" s="10">
        <f>97</f>
        <v>97</v>
      </c>
      <c r="P22" s="3"/>
      <c r="Q22" s="3"/>
      <c r="R22" s="3">
        <v>80</v>
      </c>
      <c r="S22" s="8">
        <f t="shared" si="3"/>
        <v>7009.9378535025407</v>
      </c>
      <c r="T22" s="7">
        <f t="shared" si="4"/>
        <v>303</v>
      </c>
      <c r="U22" s="3">
        <v>303</v>
      </c>
      <c r="V22" s="8">
        <f t="shared" si="5"/>
        <v>0</v>
      </c>
      <c r="W22" s="8"/>
      <c r="X22" s="11">
        <f t="shared" si="6"/>
        <v>12000.063105148418</v>
      </c>
    </row>
    <row r="23" spans="1:24" ht="15.5" x14ac:dyDescent="0.35">
      <c r="A23" s="1" t="s">
        <v>135</v>
      </c>
      <c r="B23" s="2" t="s">
        <v>29</v>
      </c>
      <c r="C23" s="3" t="s">
        <v>34</v>
      </c>
      <c r="D23" s="18" t="str">
        <f t="shared" si="0"/>
        <v>sep</v>
      </c>
      <c r="E23" s="5">
        <v>45904</v>
      </c>
      <c r="F23" s="6">
        <v>45923</v>
      </c>
      <c r="G23" s="7">
        <v>20</v>
      </c>
      <c r="H23" s="7">
        <v>2300</v>
      </c>
      <c r="I23" s="7"/>
      <c r="J23" s="8">
        <v>46087.94</v>
      </c>
      <c r="K23" s="8">
        <f>IFERROR(((SUMIFS(MOIndirectos!$E$34:$E$132,MOIndirectos!$B$34:$B$132,"Mano de Obra",MOIndirectos!$C$34:$C$132,$D23,MOIndirectos!$D$34:$D$132,$B23))/(SUMIFS(MOIndirectos!$E$34:$E$132,MOIndirectos!$B$34:$B$132,"Produccion",MOIndirectos!$C$34:$C$132,$D23,MOIndirectos!$D$34:$D$132,$B23))*$G23),0)</f>
        <v>25401.507435897438</v>
      </c>
      <c r="L23" s="8">
        <f>IFERROR(((SUMIFS(MOIndirectos!$E$34:$E$132,MOIndirectos!$B$34:$B$132,"Indirectos",MOIndirectos!$C$34:$C$132,$D23,MOIndirectos!$D$34:$D$132,$B23))/(SUMIFS(MOIndirectos!$E$34:$E$132,MOIndirectos!$B$34:$B$132,"Produccion",MOIndirectos!$C$34:$C$132,$D23,MOIndirectos!$D$34:$D$132,$B23))*$G23),0)</f>
        <v>22088.472222222223</v>
      </c>
      <c r="M23" s="8">
        <f t="shared" si="1"/>
        <v>93577.919658119659</v>
      </c>
      <c r="N23" s="9">
        <f t="shared" si="2"/>
        <v>40.686052025269419</v>
      </c>
      <c r="O23" s="10">
        <v>540</v>
      </c>
      <c r="P23" s="3">
        <v>240</v>
      </c>
      <c r="Q23" s="3"/>
      <c r="R23" s="3">
        <v>220</v>
      </c>
      <c r="S23" s="8">
        <f t="shared" si="3"/>
        <v>40686.052025269419</v>
      </c>
      <c r="T23" s="7">
        <f t="shared" si="4"/>
        <v>1300</v>
      </c>
      <c r="U23" s="3">
        <v>1300</v>
      </c>
      <c r="V23" s="8">
        <f t="shared" si="5"/>
        <v>0</v>
      </c>
      <c r="W23" s="8"/>
      <c r="X23" s="11">
        <f t="shared" si="6"/>
        <v>52891.867632850248</v>
      </c>
    </row>
    <row r="24" spans="1:24" ht="15.5" x14ac:dyDescent="0.35">
      <c r="A24" s="1">
        <v>1103</v>
      </c>
      <c r="B24" s="2" t="s">
        <v>23</v>
      </c>
      <c r="C24" s="3" t="s">
        <v>36</v>
      </c>
      <c r="D24" s="18" t="str">
        <f t="shared" si="0"/>
        <v>sep</v>
      </c>
      <c r="E24" s="5">
        <v>45904</v>
      </c>
      <c r="F24" s="6">
        <v>45922</v>
      </c>
      <c r="G24" s="7">
        <v>8</v>
      </c>
      <c r="H24" s="7">
        <v>873</v>
      </c>
      <c r="I24" s="7"/>
      <c r="J24" s="8">
        <v>15533.68</v>
      </c>
      <c r="K24" s="8">
        <f>IFERROR(((SUMIFS(MOIndirectos!$E$34:$E$132,MOIndirectos!$B$34:$B$132,"Mano de Obra",MOIndirectos!$C$34:$C$132,$D24,MOIndirectos!$D$34:$D$132,$B24))/(SUMIFS(MOIndirectos!$E$34:$E$132,MOIndirectos!$B$34:$B$132,"Produccion",MOIndirectos!$C$34:$C$132,$D24,MOIndirectos!$D$34:$D$132,$B24))*$G24),0)</f>
        <v>16975.946001386004</v>
      </c>
      <c r="L24" s="8">
        <f>IFERROR(((SUMIFS(MOIndirectos!$E$34:$E$132,MOIndirectos!$B$34:$B$132,"Indirectos",MOIndirectos!$C$34:$C$132,$D24,MOIndirectos!$D$34:$D$132,$B24))/(SUMIFS(MOIndirectos!$E$34:$E$132,MOIndirectos!$B$34:$B$132,"Produccion",MOIndirectos!$C$34:$C$132,$D24,MOIndirectos!$D$34:$D$132,$B24))*$G24),0)</f>
        <v>7010.7959159159154</v>
      </c>
      <c r="M24" s="8">
        <f t="shared" si="1"/>
        <v>39520.421917301923</v>
      </c>
      <c r="N24" s="9">
        <f t="shared" si="2"/>
        <v>45.269670008364173</v>
      </c>
      <c r="O24" s="10">
        <v>98</v>
      </c>
      <c r="P24" s="3">
        <v>60</v>
      </c>
      <c r="Q24" s="3"/>
      <c r="R24" s="3">
        <v>20</v>
      </c>
      <c r="S24" s="8">
        <f t="shared" si="3"/>
        <v>8058.0012614888228</v>
      </c>
      <c r="T24" s="7">
        <f t="shared" si="4"/>
        <v>695</v>
      </c>
      <c r="U24" s="3">
        <v>695</v>
      </c>
      <c r="V24" s="8">
        <f t="shared" si="5"/>
        <v>0</v>
      </c>
      <c r="W24" s="8"/>
      <c r="X24" s="11">
        <f t="shared" si="6"/>
        <v>31462.420655813101</v>
      </c>
    </row>
    <row r="25" spans="1:24" ht="15.5" x14ac:dyDescent="0.35">
      <c r="A25" s="1">
        <v>1104</v>
      </c>
      <c r="B25" s="2" t="s">
        <v>23</v>
      </c>
      <c r="C25" s="3" t="s">
        <v>79</v>
      </c>
      <c r="D25" s="18" t="str">
        <f t="shared" si="0"/>
        <v>sep</v>
      </c>
      <c r="E25" s="5">
        <v>45905</v>
      </c>
      <c r="F25" s="6">
        <v>45938</v>
      </c>
      <c r="G25" s="7">
        <v>3</v>
      </c>
      <c r="H25" s="7">
        <v>349</v>
      </c>
      <c r="I25" s="7"/>
      <c r="J25" s="8">
        <v>7998.34</v>
      </c>
      <c r="K25" s="8">
        <f>IFERROR(((SUMIFS(MOIndirectos!$E$34:$E$132,MOIndirectos!$B$34:$B$132,"Mano de Obra",MOIndirectos!$C$34:$C$132,$D25,MOIndirectos!$D$34:$D$132,$B25))/(SUMIFS(MOIndirectos!$E$34:$E$132,MOIndirectos!$B$34:$B$132,"Produccion",MOIndirectos!$C$34:$C$132,$D25,MOIndirectos!$D$34:$D$132,$B25))*$G25),0)</f>
        <v>6365.9797505197512</v>
      </c>
      <c r="L25" s="8">
        <f>IFERROR(((SUMIFS(MOIndirectos!$E$34:$E$132,MOIndirectos!$B$34:$B$132,"Indirectos",MOIndirectos!$C$34:$C$132,$D25,MOIndirectos!$D$34:$D$132,$B25))/(SUMIFS(MOIndirectos!$E$34:$E$132,MOIndirectos!$B$34:$B$132,"Produccion",MOIndirectos!$C$34:$C$132,$D25,MOIndirectos!$D$34:$D$132,$B25))*$G25),0)</f>
        <v>2629.0484684684684</v>
      </c>
      <c r="M25" s="8">
        <f t="shared" si="1"/>
        <v>16993.36821898822</v>
      </c>
      <c r="N25" s="9">
        <f t="shared" si="2"/>
        <v>48.691599481341605</v>
      </c>
      <c r="O25" s="10">
        <v>0</v>
      </c>
      <c r="P25" s="3"/>
      <c r="Q25" s="3"/>
      <c r="R25" s="3">
        <v>0</v>
      </c>
      <c r="S25" s="8">
        <f t="shared" si="3"/>
        <v>0</v>
      </c>
      <c r="T25" s="7">
        <f t="shared" si="4"/>
        <v>349</v>
      </c>
      <c r="U25" s="3">
        <v>349</v>
      </c>
      <c r="V25" s="8">
        <f t="shared" si="5"/>
        <v>0</v>
      </c>
      <c r="W25" s="8"/>
      <c r="X25" s="11">
        <f t="shared" si="6"/>
        <v>16993.36821898822</v>
      </c>
    </row>
    <row r="26" spans="1:24" ht="15.5" x14ac:dyDescent="0.35">
      <c r="A26" s="1">
        <v>1105</v>
      </c>
      <c r="B26" s="2" t="s">
        <v>23</v>
      </c>
      <c r="C26" s="3" t="s">
        <v>31</v>
      </c>
      <c r="D26" s="18" t="str">
        <f t="shared" si="0"/>
        <v>sep</v>
      </c>
      <c r="E26" s="5">
        <v>45911</v>
      </c>
      <c r="F26" s="6">
        <v>45943</v>
      </c>
      <c r="G26" s="7">
        <v>4</v>
      </c>
      <c r="H26" s="7">
        <v>480</v>
      </c>
      <c r="I26" s="7"/>
      <c r="J26" s="17">
        <f>6692.96+2400</f>
        <v>9092.9599999999991</v>
      </c>
      <c r="K26" s="8">
        <f>IFERROR(((SUMIFS(MOIndirectos!$E$34:$E$132,MOIndirectos!$B$34:$B$132,"Mano de Obra",MOIndirectos!$C$34:$C$132,$D26,MOIndirectos!$D$34:$D$132,$B26))/(SUMIFS(MOIndirectos!$E$34:$E$132,MOIndirectos!$B$34:$B$132,"Produccion",MOIndirectos!$C$34:$C$132,$D26,MOIndirectos!$D$34:$D$132,$B26))*$G26),0)</f>
        <v>8487.9730006930022</v>
      </c>
      <c r="L26" s="8">
        <f>IFERROR(((SUMIFS(MOIndirectos!$E$34:$E$132,MOIndirectos!$B$34:$B$132,"Indirectos",MOIndirectos!$C$34:$C$132,$D26,MOIndirectos!$D$34:$D$132,$B26))/(SUMIFS(MOIndirectos!$E$34:$E$132,MOIndirectos!$B$34:$B$132,"Produccion",MOIndirectos!$C$34:$C$132,$D26,MOIndirectos!$D$34:$D$132,$B26))*$G26),0)</f>
        <v>3505.3979579579577</v>
      </c>
      <c r="M26" s="8">
        <f t="shared" si="1"/>
        <v>21086.33095865096</v>
      </c>
      <c r="N26" s="9">
        <f t="shared" si="2"/>
        <v>43.929856163856165</v>
      </c>
      <c r="O26" s="10">
        <v>0</v>
      </c>
      <c r="P26" s="3"/>
      <c r="Q26" s="3"/>
      <c r="R26" s="3">
        <v>0</v>
      </c>
      <c r="S26" s="8">
        <f t="shared" si="3"/>
        <v>0</v>
      </c>
      <c r="T26" s="7">
        <f t="shared" si="4"/>
        <v>480</v>
      </c>
      <c r="U26" s="3">
        <v>480</v>
      </c>
      <c r="V26" s="8">
        <f t="shared" si="5"/>
        <v>0</v>
      </c>
      <c r="W26" s="8"/>
      <c r="X26" s="11">
        <f t="shared" si="6"/>
        <v>21086.33095865096</v>
      </c>
    </row>
    <row r="27" spans="1:24" ht="15.5" x14ac:dyDescent="0.35">
      <c r="A27" s="1" t="s">
        <v>136</v>
      </c>
      <c r="B27" s="2" t="s">
        <v>29</v>
      </c>
      <c r="C27" s="3" t="s">
        <v>47</v>
      </c>
      <c r="D27" s="18" t="str">
        <f t="shared" si="0"/>
        <v>sep</v>
      </c>
      <c r="E27" s="5">
        <v>45911</v>
      </c>
      <c r="F27" s="6">
        <v>45926</v>
      </c>
      <c r="G27" s="7">
        <v>20</v>
      </c>
      <c r="H27" s="7">
        <v>2400</v>
      </c>
      <c r="I27" s="7"/>
      <c r="J27" s="8">
        <v>28436.75</v>
      </c>
      <c r="K27" s="8">
        <f>IFERROR(((SUMIFS(MOIndirectos!$E$34:$E$132,MOIndirectos!$B$34:$B$132,"Mano de Obra",MOIndirectos!$C$34:$C$132,$D27,MOIndirectos!$D$34:$D$132,$B27))/(SUMIFS(MOIndirectos!$E$34:$E$132,MOIndirectos!$B$34:$B$132,"Produccion",MOIndirectos!$C$34:$C$132,$D27,MOIndirectos!$D$34:$D$132,$B27))*$G27),0)</f>
        <v>25401.507435897438</v>
      </c>
      <c r="L27" s="8">
        <f>IFERROR(((SUMIFS(MOIndirectos!$E$34:$E$132,MOIndirectos!$B$34:$B$132,"Indirectos",MOIndirectos!$C$34:$C$132,$D27,MOIndirectos!$D$34:$D$132,$B27))/(SUMIFS(MOIndirectos!$E$34:$E$132,MOIndirectos!$B$34:$B$132,"Produccion",MOIndirectos!$C$34:$C$132,$D27,MOIndirectos!$D$34:$D$132,$B27))*$G27),0)</f>
        <v>22088.472222222223</v>
      </c>
      <c r="M27" s="8">
        <f t="shared" si="1"/>
        <v>75926.729658119657</v>
      </c>
      <c r="N27" s="9">
        <f t="shared" si="2"/>
        <v>31.636137357549856</v>
      </c>
      <c r="O27" s="10">
        <f>180</f>
        <v>180</v>
      </c>
      <c r="P27" s="3"/>
      <c r="Q27" s="3"/>
      <c r="R27" s="39">
        <v>60</v>
      </c>
      <c r="S27" s="8">
        <f t="shared" si="3"/>
        <v>7592.6729658119657</v>
      </c>
      <c r="T27" s="38">
        <f t="shared" si="4"/>
        <v>2160</v>
      </c>
      <c r="U27" s="3">
        <v>2160</v>
      </c>
      <c r="V27" s="8">
        <f t="shared" si="5"/>
        <v>0</v>
      </c>
      <c r="W27" s="8"/>
      <c r="X27" s="11">
        <f t="shared" si="6"/>
        <v>68334.056692307684</v>
      </c>
    </row>
    <row r="28" spans="1:24" ht="15.5" x14ac:dyDescent="0.35">
      <c r="A28" s="1">
        <v>1106</v>
      </c>
      <c r="B28" s="2" t="s">
        <v>23</v>
      </c>
      <c r="C28" s="3" t="s">
        <v>87</v>
      </c>
      <c r="D28" s="18" t="str">
        <f t="shared" si="0"/>
        <v>sep</v>
      </c>
      <c r="E28" s="5">
        <v>45917</v>
      </c>
      <c r="F28" s="6">
        <v>45936</v>
      </c>
      <c r="G28" s="7">
        <v>3</v>
      </c>
      <c r="H28" s="7">
        <v>356</v>
      </c>
      <c r="I28" s="7"/>
      <c r="J28" s="8">
        <v>6445.23</v>
      </c>
      <c r="K28" s="8">
        <f>IFERROR(((SUMIFS(MOIndirectos!$E$34:$E$132,MOIndirectos!$B$34:$B$132,"Mano de Obra",MOIndirectos!$C$34:$C$132,$D28,MOIndirectos!$D$34:$D$132,$B28))/(SUMIFS(MOIndirectos!$E$34:$E$132,MOIndirectos!$B$34:$B$132,"Produccion",MOIndirectos!$C$34:$C$132,$D28,MOIndirectos!$D$34:$D$132,$B28))*$G28),0)</f>
        <v>6365.9797505197512</v>
      </c>
      <c r="L28" s="8">
        <f>IFERROR(((SUMIFS(MOIndirectos!$E$34:$E$132,MOIndirectos!$B$34:$B$132,"Indirectos",MOIndirectos!$C$34:$C$132,$D28,MOIndirectos!$D$34:$D$132,$B28))/(SUMIFS(MOIndirectos!$E$34:$E$132,MOIndirectos!$B$34:$B$132,"Produccion",MOIndirectos!$C$34:$C$132,$D28,MOIndirectos!$D$34:$D$132,$B28))*$G28),0)</f>
        <v>2629.0484684684684</v>
      </c>
      <c r="M28" s="8">
        <f t="shared" si="1"/>
        <v>15440.25821898822</v>
      </c>
      <c r="N28" s="9">
        <f t="shared" si="2"/>
        <v>43.371511851090503</v>
      </c>
      <c r="O28" s="10">
        <v>0</v>
      </c>
      <c r="P28" s="3"/>
      <c r="Q28" s="3"/>
      <c r="R28" s="3">
        <v>0</v>
      </c>
      <c r="S28" s="8">
        <f t="shared" si="3"/>
        <v>0</v>
      </c>
      <c r="T28" s="7">
        <f t="shared" si="4"/>
        <v>356</v>
      </c>
      <c r="U28" s="3">
        <v>356</v>
      </c>
      <c r="V28" s="8">
        <f t="shared" si="5"/>
        <v>0</v>
      </c>
      <c r="W28" s="8"/>
      <c r="X28" s="11">
        <f t="shared" si="6"/>
        <v>15440.25821898822</v>
      </c>
    </row>
    <row r="29" spans="1:24" ht="15.5" x14ac:dyDescent="0.35">
      <c r="A29" s="1" t="s">
        <v>137</v>
      </c>
      <c r="B29" s="2" t="s">
        <v>29</v>
      </c>
      <c r="C29" s="3" t="s">
        <v>138</v>
      </c>
      <c r="D29" s="18" t="str">
        <f t="shared" si="0"/>
        <v>sep</v>
      </c>
      <c r="E29" s="5">
        <v>45919</v>
      </c>
      <c r="F29" s="6">
        <v>45940</v>
      </c>
      <c r="G29" s="7">
        <v>40</v>
      </c>
      <c r="H29" s="7">
        <v>4528</v>
      </c>
      <c r="I29" s="7"/>
      <c r="J29" s="19">
        <f>115767.66-2586.21-10597</f>
        <v>102584.45</v>
      </c>
      <c r="K29" s="8">
        <f>IFERROR(((SUMIFS(MOIndirectos!$E$34:$E$132,MOIndirectos!$B$34:$B$132,"Mano de Obra",MOIndirectos!$C$34:$C$132,$D29,MOIndirectos!$D$34:$D$132,$B29))/(SUMIFS(MOIndirectos!$E$34:$E$132,MOIndirectos!$B$34:$B$132,"Produccion",MOIndirectos!$C$34:$C$132,$D29,MOIndirectos!$D$34:$D$132,$B29))*$G29),0)</f>
        <v>50803.014871794876</v>
      </c>
      <c r="L29" s="8">
        <f>IFERROR(((SUMIFS(MOIndirectos!$E$34:$E$132,MOIndirectos!$B$34:$B$132,"Indirectos",MOIndirectos!$C$34:$C$132,$D29,MOIndirectos!$D$34:$D$132,$B29))/(SUMIFS(MOIndirectos!$E$34:$E$132,MOIndirectos!$B$34:$B$132,"Produccion",MOIndirectos!$C$34:$C$132,$D29,MOIndirectos!$D$34:$D$132,$B29))*$G29),0)</f>
        <v>44176.944444444445</v>
      </c>
      <c r="M29" s="8">
        <f t="shared" si="1"/>
        <v>197564.4093162393</v>
      </c>
      <c r="N29" s="9">
        <f t="shared" si="2"/>
        <v>43.631715838392068</v>
      </c>
      <c r="O29" s="10">
        <v>0</v>
      </c>
      <c r="P29" s="3"/>
      <c r="Q29" s="3"/>
      <c r="R29" s="3">
        <v>0</v>
      </c>
      <c r="S29" s="8">
        <f t="shared" si="3"/>
        <v>0</v>
      </c>
      <c r="T29" s="7">
        <f t="shared" si="4"/>
        <v>4528</v>
      </c>
      <c r="U29" s="3">
        <v>4528</v>
      </c>
      <c r="V29" s="8">
        <f t="shared" si="5"/>
        <v>0</v>
      </c>
      <c r="W29" s="8"/>
      <c r="X29" s="11">
        <f t="shared" si="6"/>
        <v>197564.4093162393</v>
      </c>
    </row>
    <row r="30" spans="1:24" ht="15.5" x14ac:dyDescent="0.35">
      <c r="A30" s="1">
        <v>1107</v>
      </c>
      <c r="B30" s="2" t="s">
        <v>23</v>
      </c>
      <c r="C30" s="3" t="s">
        <v>35</v>
      </c>
      <c r="D30" s="18" t="str">
        <f t="shared" si="0"/>
        <v>sep</v>
      </c>
      <c r="E30" s="5">
        <v>45922</v>
      </c>
      <c r="F30" s="6">
        <v>45937</v>
      </c>
      <c r="G30" s="7">
        <v>4</v>
      </c>
      <c r="H30" s="7">
        <v>450</v>
      </c>
      <c r="I30" s="7"/>
      <c r="J30" s="8">
        <v>5682.86</v>
      </c>
      <c r="K30" s="8">
        <f>IFERROR(((SUMIFS(MOIndirectos!$E$34:$E$132,MOIndirectos!$B$34:$B$132,"Mano de Obra",MOIndirectos!$C$34:$C$132,$D30,MOIndirectos!$D$34:$D$132,$B30))/(SUMIFS(MOIndirectos!$E$34:$E$132,MOIndirectos!$B$34:$B$132,"Produccion",MOIndirectos!$C$34:$C$132,$D30,MOIndirectos!$D$34:$D$132,$B30))*$G30),0)</f>
        <v>8487.9730006930022</v>
      </c>
      <c r="L30" s="8">
        <f>IFERROR(((SUMIFS(MOIndirectos!$E$34:$E$132,MOIndirectos!$B$34:$B$132,"Indirectos",MOIndirectos!$C$34:$C$132,$D30,MOIndirectos!$D$34:$D$132,$B30))/(SUMIFS(MOIndirectos!$E$34:$E$132,MOIndirectos!$B$34:$B$132,"Produccion",MOIndirectos!$C$34:$C$132,$D30,MOIndirectos!$D$34:$D$132,$B30))*$G30),0)</f>
        <v>3505.3979579579577</v>
      </c>
      <c r="M30" s="8">
        <f t="shared" si="1"/>
        <v>17676.230958650958</v>
      </c>
      <c r="N30" s="9">
        <f t="shared" si="2"/>
        <v>39.28051324144657</v>
      </c>
      <c r="O30" s="10">
        <v>0</v>
      </c>
      <c r="P30" s="3"/>
      <c r="Q30" s="3"/>
      <c r="R30" s="3">
        <v>0</v>
      </c>
      <c r="S30" s="8">
        <f t="shared" si="3"/>
        <v>0</v>
      </c>
      <c r="T30" s="7">
        <f t="shared" si="4"/>
        <v>450</v>
      </c>
      <c r="U30" s="3">
        <v>450</v>
      </c>
      <c r="V30" s="8">
        <f t="shared" si="5"/>
        <v>0</v>
      </c>
      <c r="W30" s="8"/>
      <c r="X30" s="11">
        <f t="shared" si="6"/>
        <v>17676.230958650958</v>
      </c>
    </row>
    <row r="31" spans="1:24" ht="15.5" x14ac:dyDescent="0.35">
      <c r="A31" s="1">
        <v>1108</v>
      </c>
      <c r="B31" s="2" t="s">
        <v>23</v>
      </c>
      <c r="C31" s="3" t="s">
        <v>59</v>
      </c>
      <c r="D31" s="18" t="str">
        <f t="shared" si="0"/>
        <v>sep</v>
      </c>
      <c r="E31" s="5">
        <v>45926</v>
      </c>
      <c r="F31" s="6">
        <v>45954</v>
      </c>
      <c r="G31" s="7">
        <v>8</v>
      </c>
      <c r="H31" s="7">
        <v>900</v>
      </c>
      <c r="I31" s="7"/>
      <c r="J31" s="8">
        <v>14122.53</v>
      </c>
      <c r="K31" s="8">
        <f>IFERROR(((SUMIFS(MOIndirectos!$E$34:$E$132,MOIndirectos!$B$34:$B$132,"Mano de Obra",MOIndirectos!$C$34:$C$132,$D31,MOIndirectos!$D$34:$D$132,$B31))/(SUMIFS(MOIndirectos!$E$34:$E$132,MOIndirectos!$B$34:$B$132,"Produccion",MOIndirectos!$C$34:$C$132,$D31,MOIndirectos!$D$34:$D$132,$B31))*$G31),0)</f>
        <v>16975.946001386004</v>
      </c>
      <c r="L31" s="8">
        <f>IFERROR(((SUMIFS(MOIndirectos!$E$34:$E$132,MOIndirectos!$B$34:$B$132,"Indirectos",MOIndirectos!$C$34:$C$132,$D31,MOIndirectos!$D$34:$D$132,$B31))/(SUMIFS(MOIndirectos!$E$34:$E$132,MOIndirectos!$B$34:$B$132,"Produccion",MOIndirectos!$C$34:$C$132,$D31,MOIndirectos!$D$34:$D$132,$B31))*$G31),0)</f>
        <v>7010.7959159159154</v>
      </c>
      <c r="M31" s="8">
        <f t="shared" si="1"/>
        <v>38109.271917301921</v>
      </c>
      <c r="N31" s="9">
        <f t="shared" si="2"/>
        <v>42.343635463668804</v>
      </c>
      <c r="O31" s="10">
        <v>0</v>
      </c>
      <c r="P31" s="3"/>
      <c r="Q31" s="3"/>
      <c r="R31" s="3">
        <v>0</v>
      </c>
      <c r="S31" s="8">
        <f t="shared" si="3"/>
        <v>0</v>
      </c>
      <c r="T31" s="7">
        <f t="shared" si="4"/>
        <v>900</v>
      </c>
      <c r="U31" s="3">
        <v>900</v>
      </c>
      <c r="V31" s="8">
        <f t="shared" si="5"/>
        <v>0</v>
      </c>
      <c r="W31" s="8"/>
      <c r="X31" s="11">
        <f t="shared" si="6"/>
        <v>38109.271917301921</v>
      </c>
    </row>
    <row r="32" spans="1:24" ht="15.5" x14ac:dyDescent="0.35">
      <c r="A32" s="1">
        <v>1109</v>
      </c>
      <c r="B32" s="2" t="s">
        <v>23</v>
      </c>
      <c r="C32" s="3" t="s">
        <v>139</v>
      </c>
      <c r="D32" s="18" t="str">
        <f t="shared" si="0"/>
        <v>sep</v>
      </c>
      <c r="E32" s="5">
        <v>45930</v>
      </c>
      <c r="F32" s="6">
        <v>45951</v>
      </c>
      <c r="G32" s="7">
        <v>3</v>
      </c>
      <c r="H32" s="7">
        <v>360</v>
      </c>
      <c r="I32" s="7"/>
      <c r="J32" s="17">
        <f>9651.46+200</f>
        <v>9851.4599999999991</v>
      </c>
      <c r="K32" s="8">
        <f>IFERROR(((SUMIFS(MOIndirectos!$E$34:$E$132,MOIndirectos!$B$34:$B$132,"Mano de Obra",MOIndirectos!$C$34:$C$132,$D32,MOIndirectos!$D$34:$D$132,$B32))/(SUMIFS(MOIndirectos!$E$34:$E$132,MOIndirectos!$B$34:$B$132,"Produccion",MOIndirectos!$C$34:$C$132,$D32,MOIndirectos!$D$34:$D$132,$B32))*$G32),0)</f>
        <v>6365.9797505197512</v>
      </c>
      <c r="L32" s="8">
        <f>IFERROR(((SUMIFS(MOIndirectos!$E$34:$E$132,MOIndirectos!$B$34:$B$132,"Indirectos",MOIndirectos!$C$34:$C$132,$D32,MOIndirectos!$D$34:$D$132,$B32))/(SUMIFS(MOIndirectos!$E$34:$E$132,MOIndirectos!$B$34:$B$132,"Produccion",MOIndirectos!$C$34:$C$132,$D32,MOIndirectos!$D$34:$D$132,$B32))*$G32),0)</f>
        <v>2629.0484684684684</v>
      </c>
      <c r="M32" s="8">
        <f t="shared" si="1"/>
        <v>18846.488218988219</v>
      </c>
      <c r="N32" s="9">
        <f t="shared" si="2"/>
        <v>52.351356163856167</v>
      </c>
      <c r="O32" s="10">
        <v>0</v>
      </c>
      <c r="P32" s="3"/>
      <c r="Q32" s="3"/>
      <c r="R32" s="3">
        <v>0</v>
      </c>
      <c r="S32" s="8">
        <f t="shared" si="3"/>
        <v>0</v>
      </c>
      <c r="T32" s="7">
        <f t="shared" si="4"/>
        <v>360</v>
      </c>
      <c r="U32" s="3">
        <v>360</v>
      </c>
      <c r="V32" s="8">
        <f t="shared" si="5"/>
        <v>0</v>
      </c>
      <c r="W32" s="8"/>
      <c r="X32" s="11">
        <f t="shared" si="6"/>
        <v>18846.488218988219</v>
      </c>
    </row>
    <row r="33" spans="1:24" ht="15.5" x14ac:dyDescent="0.35">
      <c r="A33" s="1"/>
      <c r="B33" s="2"/>
      <c r="C33" s="3"/>
      <c r="D33" s="18" t="str">
        <f t="shared" si="0"/>
        <v>-</v>
      </c>
      <c r="E33" s="20"/>
      <c r="F33" s="7"/>
      <c r="G33" s="7"/>
      <c r="H33" s="7"/>
      <c r="I33" s="7"/>
      <c r="J33" s="8"/>
      <c r="K33" s="8">
        <f>IFERROR(((SUMIFS(MOIndirectos!$E$34:$E$132,MOIndirectos!$B$34:$B$132,"Mano de Obra",MOIndirectos!$C$34:$C$132,$D33,MOIndirectos!$D$34:$D$132,$B33))/(SUMIFS(MOIndirectos!$E$34:$E$132,MOIndirectos!$B$34:$B$132,"Produccion",MOIndirectos!$C$34:$C$132,$D33,MOIndirectos!$D$34:$D$132,$B33))*$G33),0)</f>
        <v>0</v>
      </c>
      <c r="L33" s="8">
        <f>IFERROR(((SUMIFS(MOIndirectos!$E$34:$E$132,MOIndirectos!$B$34:$B$132,"Indirectos",MOIndirectos!$C$34:$C$132,$D33,MOIndirectos!$D$34:$D$132,$B33))/(SUMIFS(MOIndirectos!$E$34:$E$132,MOIndirectos!$B$34:$B$132,"Produccion",MOIndirectos!$C$34:$C$132,$D33,MOIndirectos!$D$34:$D$132,$B33))*$G33),0)</f>
        <v>0</v>
      </c>
      <c r="M33" s="8">
        <f t="shared" si="1"/>
        <v>0</v>
      </c>
      <c r="N33" s="9" t="str">
        <f t="shared" si="2"/>
        <v>N/A</v>
      </c>
      <c r="O33" s="10"/>
      <c r="P33" s="3"/>
      <c r="Q33" s="3"/>
      <c r="R33" s="3"/>
      <c r="S33" s="8">
        <f t="shared" si="3"/>
        <v>0</v>
      </c>
      <c r="T33" s="7">
        <f t="shared" si="4"/>
        <v>0</v>
      </c>
      <c r="U33" s="3"/>
      <c r="V33" s="8">
        <f t="shared" si="5"/>
        <v>0</v>
      </c>
      <c r="W33" s="8"/>
      <c r="X33" s="11">
        <f t="shared" si="6"/>
        <v>0</v>
      </c>
    </row>
    <row r="34" spans="1:24" ht="15.5" x14ac:dyDescent="0.35">
      <c r="A34" s="1"/>
      <c r="B34" s="2"/>
      <c r="C34" s="3"/>
      <c r="D34" s="18" t="str">
        <f t="shared" si="0"/>
        <v>-</v>
      </c>
      <c r="E34" s="20"/>
      <c r="F34" s="7"/>
      <c r="G34" s="7"/>
      <c r="H34" s="7"/>
      <c r="I34" s="7"/>
      <c r="J34" s="8"/>
      <c r="K34" s="8">
        <f>IFERROR(((SUMIFS(MOIndirectos!$E$34:$E$132,MOIndirectos!$B$34:$B$132,"Mano de Obra",MOIndirectos!$C$34:$C$132,$D34,MOIndirectos!$D$34:$D$132,$B34))/(SUMIFS(MOIndirectos!$E$34:$E$132,MOIndirectos!$B$34:$B$132,"Produccion",MOIndirectos!$C$34:$C$132,$D34,MOIndirectos!$D$34:$D$132,$B34))*$G34),0)</f>
        <v>0</v>
      </c>
      <c r="L34" s="8">
        <f>IFERROR(((SUMIFS(MOIndirectos!$E$34:$E$132,MOIndirectos!$B$34:$B$132,"Indirectos",MOIndirectos!$C$34:$C$132,$D34,MOIndirectos!$D$34:$D$132,$B34))/(SUMIFS(MOIndirectos!$E$34:$E$132,MOIndirectos!$B$34:$B$132,"Produccion",MOIndirectos!$C$34:$C$132,$D34,MOIndirectos!$D$34:$D$132,$B34))*$G34),0)</f>
        <v>0</v>
      </c>
      <c r="M34" s="8">
        <f t="shared" si="1"/>
        <v>0</v>
      </c>
      <c r="N34" s="9" t="str">
        <f t="shared" si="2"/>
        <v>N/A</v>
      </c>
      <c r="O34" s="10"/>
      <c r="P34" s="3"/>
      <c r="Q34" s="3"/>
      <c r="R34" s="3"/>
      <c r="S34" s="8">
        <f t="shared" si="3"/>
        <v>0</v>
      </c>
      <c r="T34" s="7">
        <f t="shared" si="4"/>
        <v>0</v>
      </c>
      <c r="U34" s="3"/>
      <c r="V34" s="8">
        <f t="shared" si="5"/>
        <v>0</v>
      </c>
      <c r="W34" s="8"/>
      <c r="X34" s="11">
        <f t="shared" si="6"/>
        <v>0</v>
      </c>
    </row>
    <row r="35" spans="1:24" ht="15.5" x14ac:dyDescent="0.35">
      <c r="A35" s="1"/>
      <c r="B35" s="2"/>
      <c r="C35" s="3"/>
      <c r="D35" s="18" t="str">
        <f t="shared" si="0"/>
        <v>-</v>
      </c>
      <c r="E35" s="20"/>
      <c r="F35" s="7"/>
      <c r="G35" s="7"/>
      <c r="H35" s="7"/>
      <c r="I35" s="7"/>
      <c r="J35" s="8"/>
      <c r="K35" s="8">
        <f>IFERROR(((SUMIFS(MOIndirectos!$E$34:$E$132,MOIndirectos!$B$34:$B$132,"Mano de Obra",MOIndirectos!$C$34:$C$132,$D35,MOIndirectos!$D$34:$D$132,$B35))/(SUMIFS(MOIndirectos!$E$34:$E$132,MOIndirectos!$B$34:$B$132,"Produccion",MOIndirectos!$C$34:$C$132,$D35,MOIndirectos!$D$34:$D$132,$B35))*$G35),0)</f>
        <v>0</v>
      </c>
      <c r="L35" s="8">
        <f>IFERROR(((SUMIFS(MOIndirectos!$E$34:$E$132,MOIndirectos!$B$34:$B$132,"Indirectos",MOIndirectos!$C$34:$C$132,$D35,MOIndirectos!$D$34:$D$132,$B35))/(SUMIFS(MOIndirectos!$E$34:$E$132,MOIndirectos!$B$34:$B$132,"Produccion",MOIndirectos!$C$34:$C$132,$D35,MOIndirectos!$D$34:$D$132,$B35))*$G35),0)</f>
        <v>0</v>
      </c>
      <c r="M35" s="8">
        <f t="shared" si="1"/>
        <v>0</v>
      </c>
      <c r="N35" s="9" t="str">
        <f t="shared" si="2"/>
        <v>N/A</v>
      </c>
      <c r="O35" s="10"/>
      <c r="P35" s="3"/>
      <c r="Q35" s="3"/>
      <c r="R35" s="3"/>
      <c r="S35" s="8">
        <f t="shared" si="3"/>
        <v>0</v>
      </c>
      <c r="T35" s="7">
        <f t="shared" si="4"/>
        <v>0</v>
      </c>
      <c r="U35" s="3"/>
      <c r="V35" s="8">
        <f t="shared" si="5"/>
        <v>0</v>
      </c>
      <c r="W35" s="8"/>
      <c r="X35" s="11">
        <f t="shared" si="6"/>
        <v>0</v>
      </c>
    </row>
    <row r="36" spans="1:24" ht="15.5" x14ac:dyDescent="0.35">
      <c r="A36" s="1"/>
      <c r="B36" s="2"/>
      <c r="C36" s="3"/>
      <c r="D36" s="18" t="str">
        <f t="shared" si="0"/>
        <v>-</v>
      </c>
      <c r="E36" s="20"/>
      <c r="F36" s="7"/>
      <c r="G36" s="7"/>
      <c r="H36" s="7"/>
      <c r="I36" s="7"/>
      <c r="J36" s="8"/>
      <c r="K36" s="8">
        <f>IFERROR(((SUMIFS(MOIndirectos!$E$34:$E$132,MOIndirectos!$B$34:$B$132,"Mano de Obra",MOIndirectos!$C$34:$C$132,$D36,MOIndirectos!$D$34:$D$132,$B36))/(SUMIFS(MOIndirectos!$E$34:$E$132,MOIndirectos!$B$34:$B$132,"Produccion",MOIndirectos!$C$34:$C$132,$D36,MOIndirectos!$D$34:$D$132,$B36))*$G36),0)</f>
        <v>0</v>
      </c>
      <c r="L36" s="8">
        <f>IFERROR(((SUMIFS(MOIndirectos!$E$34:$E$132,MOIndirectos!$B$34:$B$132,"Indirectos",MOIndirectos!$C$34:$C$132,$D36,MOIndirectos!$D$34:$D$132,$B36))/(SUMIFS(MOIndirectos!$E$34:$E$132,MOIndirectos!$B$34:$B$132,"Produccion",MOIndirectos!$C$34:$C$132,$D36,MOIndirectos!$D$34:$D$132,$B36))*$G36),0)</f>
        <v>0</v>
      </c>
      <c r="M36" s="8">
        <f t="shared" si="1"/>
        <v>0</v>
      </c>
      <c r="N36" s="9" t="str">
        <f t="shared" si="2"/>
        <v>N/A</v>
      </c>
      <c r="O36" s="10"/>
      <c r="P36" s="3"/>
      <c r="Q36" s="3"/>
      <c r="R36" s="3"/>
      <c r="S36" s="8">
        <f t="shared" si="3"/>
        <v>0</v>
      </c>
      <c r="T36" s="7">
        <f t="shared" si="4"/>
        <v>0</v>
      </c>
      <c r="U36" s="3"/>
      <c r="V36" s="8">
        <f t="shared" si="5"/>
        <v>0</v>
      </c>
      <c r="W36" s="8"/>
      <c r="X36" s="11">
        <f t="shared" si="6"/>
        <v>0</v>
      </c>
    </row>
    <row r="37" spans="1:24" ht="15.5" x14ac:dyDescent="0.35">
      <c r="A37" s="1"/>
      <c r="B37" s="2"/>
      <c r="C37" s="3"/>
      <c r="D37" s="18" t="str">
        <f t="shared" si="0"/>
        <v>-</v>
      </c>
      <c r="E37" s="20"/>
      <c r="F37" s="7"/>
      <c r="G37" s="7"/>
      <c r="H37" s="7"/>
      <c r="I37" s="7"/>
      <c r="J37" s="8"/>
      <c r="K37" s="8">
        <f>IFERROR(((SUMIFS(MOIndirectos!$E$34:$E$132,MOIndirectos!$B$34:$B$132,"Mano de Obra",MOIndirectos!$C$34:$C$132,$D37,MOIndirectos!$D$34:$D$132,$B37))/(SUMIFS(MOIndirectos!$E$34:$E$132,MOIndirectos!$B$34:$B$132,"Produccion",MOIndirectos!$C$34:$C$132,$D37,MOIndirectos!$D$34:$D$132,$B37))*$G37),0)</f>
        <v>0</v>
      </c>
      <c r="L37" s="8">
        <f>IFERROR(((SUMIFS(MOIndirectos!$E$34:$E$132,MOIndirectos!$B$34:$B$132,"Indirectos",MOIndirectos!$C$34:$C$132,$D37,MOIndirectos!$D$34:$D$132,$B37))/(SUMIFS(MOIndirectos!$E$34:$E$132,MOIndirectos!$B$34:$B$132,"Produccion",MOIndirectos!$C$34:$C$132,$D37,MOIndirectos!$D$34:$D$132,$B37))*$G37),0)</f>
        <v>0</v>
      </c>
      <c r="M37" s="8">
        <f t="shared" si="1"/>
        <v>0</v>
      </c>
      <c r="N37" s="9" t="str">
        <f t="shared" si="2"/>
        <v>N/A</v>
      </c>
      <c r="O37" s="10"/>
      <c r="P37" s="3"/>
      <c r="Q37" s="3"/>
      <c r="R37" s="3"/>
      <c r="S37" s="8">
        <f t="shared" si="3"/>
        <v>0</v>
      </c>
      <c r="T37" s="7">
        <f t="shared" si="4"/>
        <v>0</v>
      </c>
      <c r="U37" s="3"/>
      <c r="V37" s="8">
        <f t="shared" si="5"/>
        <v>0</v>
      </c>
      <c r="W37" s="8"/>
      <c r="X37" s="11">
        <f t="shared" si="6"/>
        <v>0</v>
      </c>
    </row>
    <row r="38" spans="1:24" ht="15.5" x14ac:dyDescent="0.35">
      <c r="A38" s="1"/>
      <c r="B38" s="2"/>
      <c r="C38" s="3"/>
      <c r="D38" s="18" t="str">
        <f t="shared" si="0"/>
        <v>-</v>
      </c>
      <c r="E38" s="20"/>
      <c r="F38" s="7"/>
      <c r="G38" s="7"/>
      <c r="H38" s="7"/>
      <c r="I38" s="7"/>
      <c r="J38" s="8"/>
      <c r="K38" s="8">
        <f>IFERROR(((SUMIFS(MOIndirectos!$E$34:$E$132,MOIndirectos!$B$34:$B$132,"Mano de Obra",MOIndirectos!$C$34:$C$132,$D38,MOIndirectos!$D$34:$D$132,$B38))/(SUMIFS(MOIndirectos!$E$34:$E$132,MOIndirectos!$B$34:$B$132,"Produccion",MOIndirectos!$C$34:$C$132,$D38,MOIndirectos!$D$34:$D$132,$B38))*$G38),0)</f>
        <v>0</v>
      </c>
      <c r="L38" s="8">
        <f>IFERROR(((SUMIFS(MOIndirectos!$E$34:$E$132,MOIndirectos!$B$34:$B$132,"Indirectos",MOIndirectos!$C$34:$C$132,$D38,MOIndirectos!$D$34:$D$132,$B38))/(SUMIFS(MOIndirectos!$E$34:$E$132,MOIndirectos!$B$34:$B$132,"Produccion",MOIndirectos!$C$34:$C$132,$D38,MOIndirectos!$D$34:$D$132,$B38))*$G38),0)</f>
        <v>0</v>
      </c>
      <c r="M38" s="8">
        <f t="shared" si="1"/>
        <v>0</v>
      </c>
      <c r="N38" s="9" t="str">
        <f t="shared" si="2"/>
        <v>N/A</v>
      </c>
      <c r="O38" s="10"/>
      <c r="P38" s="3"/>
      <c r="Q38" s="3"/>
      <c r="R38" s="3"/>
      <c r="S38" s="8">
        <f t="shared" si="3"/>
        <v>0</v>
      </c>
      <c r="T38" s="7">
        <f t="shared" si="4"/>
        <v>0</v>
      </c>
      <c r="U38" s="3"/>
      <c r="V38" s="8">
        <f t="shared" si="5"/>
        <v>0</v>
      </c>
      <c r="W38" s="8"/>
      <c r="X38" s="11">
        <f t="shared" si="6"/>
        <v>0</v>
      </c>
    </row>
    <row r="40" spans="1:24" ht="15.75" customHeight="1" x14ac:dyDescent="0.25">
      <c r="F40" s="22"/>
      <c r="H40" s="22">
        <v>252852.82999999996</v>
      </c>
      <c r="I40" s="22" t="s">
        <v>140</v>
      </c>
      <c r="J40" s="22">
        <f>SUMIF(D2:D38,I40,J2:J38)</f>
        <v>252852.82999999996</v>
      </c>
      <c r="K40" s="22">
        <v>272230.2</v>
      </c>
      <c r="M40" s="22">
        <f>SUMIF(D2:D38,I40,M2:M38)</f>
        <v>553751.42999999982</v>
      </c>
      <c r="N40" s="22"/>
    </row>
    <row r="41" spans="1:24" ht="15.75" customHeight="1" x14ac:dyDescent="0.25">
      <c r="J41" s="22"/>
      <c r="U41" s="21" t="s">
        <v>61</v>
      </c>
      <c r="V41" s="21" t="s">
        <v>62</v>
      </c>
    </row>
    <row r="42" spans="1:24" ht="15.75" customHeight="1" x14ac:dyDescent="0.25">
      <c r="F42" s="22"/>
      <c r="S42" s="21">
        <f t="shared" ref="S42:S43" si="7">W42*200</f>
        <v>1883.2</v>
      </c>
      <c r="T42" s="21" t="s">
        <v>63</v>
      </c>
      <c r="U42" s="21">
        <v>500</v>
      </c>
      <c r="V42" s="21">
        <f>9416/2</f>
        <v>4708</v>
      </c>
      <c r="W42" s="21">
        <f t="shared" ref="W42:W43" si="8">V42/U42</f>
        <v>9.4160000000000004</v>
      </c>
    </row>
    <row r="43" spans="1:24" ht="15.75" customHeight="1" x14ac:dyDescent="0.25">
      <c r="G43" s="22"/>
      <c r="I43" s="21" t="s">
        <v>64</v>
      </c>
      <c r="J43" s="21" t="s">
        <v>65</v>
      </c>
      <c r="K43" s="21" t="s">
        <v>66</v>
      </c>
      <c r="L43" s="21" t="s">
        <v>112</v>
      </c>
      <c r="M43" s="21" t="s">
        <v>101</v>
      </c>
      <c r="N43" s="21" t="s">
        <v>102</v>
      </c>
      <c r="O43" s="21" t="s">
        <v>70</v>
      </c>
      <c r="P43" s="21"/>
      <c r="Q43" s="21"/>
      <c r="R43" s="21" t="s">
        <v>71</v>
      </c>
      <c r="S43" s="21">
        <f t="shared" si="7"/>
        <v>3006.2999999999997</v>
      </c>
      <c r="T43" s="21" t="s">
        <v>72</v>
      </c>
      <c r="U43" s="21">
        <v>460</v>
      </c>
      <c r="V43" s="21">
        <v>6914.49</v>
      </c>
      <c r="W43" s="21">
        <f t="shared" si="8"/>
        <v>15.031499999999999</v>
      </c>
      <c r="X43" s="21">
        <f>ROUND(W43*150,2)</f>
        <v>2254.73</v>
      </c>
    </row>
    <row r="44" spans="1:24" ht="15.75" customHeight="1" x14ac:dyDescent="0.25">
      <c r="D44" s="22"/>
      <c r="E44" s="22"/>
      <c r="F44" s="21" t="s">
        <v>104</v>
      </c>
      <c r="G44" s="21">
        <f t="shared" ref="G44:G48" si="9">SUM(I44:R44)</f>
        <v>2400</v>
      </c>
      <c r="I44" s="24"/>
      <c r="J44" s="24"/>
      <c r="K44" s="24"/>
      <c r="L44" s="24"/>
      <c r="M44" s="24"/>
      <c r="N44" s="24"/>
      <c r="O44" s="24">
        <v>2250</v>
      </c>
      <c r="P44" s="24"/>
      <c r="Q44" s="24"/>
      <c r="R44" s="24">
        <v>150</v>
      </c>
      <c r="S44" s="21">
        <f>ROUND(S43+S42,2)</f>
        <v>4889.5</v>
      </c>
    </row>
    <row r="45" spans="1:24" ht="15.75" customHeight="1" x14ac:dyDescent="0.25">
      <c r="D45" s="22"/>
      <c r="E45" s="22"/>
      <c r="F45" s="21" t="s">
        <v>80</v>
      </c>
      <c r="G45" s="21">
        <f t="shared" si="9"/>
        <v>200</v>
      </c>
      <c r="I45" s="24"/>
      <c r="J45" s="24"/>
      <c r="K45" s="24"/>
      <c r="L45" s="24">
        <v>200</v>
      </c>
      <c r="M45" s="24"/>
      <c r="N45" s="24"/>
      <c r="O45" s="24"/>
      <c r="P45" s="24"/>
      <c r="Q45" s="24"/>
      <c r="R45" s="24"/>
      <c r="S45" s="21">
        <f>S44/2</f>
        <v>2444.75</v>
      </c>
      <c r="V45" s="21">
        <f>W42*250</f>
        <v>2354</v>
      </c>
    </row>
    <row r="46" spans="1:24" ht="15.75" customHeight="1" x14ac:dyDescent="0.25">
      <c r="D46" s="22"/>
      <c r="E46" s="22"/>
      <c r="G46" s="21">
        <f t="shared" si="9"/>
        <v>0</v>
      </c>
      <c r="H46" s="22"/>
      <c r="I46" s="24"/>
      <c r="J46" s="24"/>
      <c r="K46" s="24"/>
      <c r="L46" s="24"/>
      <c r="M46" s="24"/>
      <c r="N46" s="24"/>
      <c r="O46" s="24"/>
      <c r="P46" s="24"/>
      <c r="Q46" s="24"/>
      <c r="R46" s="24"/>
      <c r="V46" s="21">
        <f>W43*150</f>
        <v>2254.7249999999999</v>
      </c>
    </row>
    <row r="47" spans="1:24" ht="15.75" customHeight="1" x14ac:dyDescent="0.25">
      <c r="D47" s="22"/>
      <c r="E47" s="22"/>
      <c r="G47" s="21">
        <f t="shared" si="9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V47" s="21">
        <f>V46+V45</f>
        <v>4608.7250000000004</v>
      </c>
    </row>
    <row r="48" spans="1:24" ht="15.75" customHeight="1" x14ac:dyDescent="0.25">
      <c r="D48" s="22"/>
      <c r="E48" s="22"/>
      <c r="G48" s="21">
        <f t="shared" si="9"/>
        <v>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50" spans="3:18" ht="15.75" customHeight="1" x14ac:dyDescent="0.25">
      <c r="P50" s="21"/>
      <c r="Q50" s="21"/>
      <c r="R50" s="21" t="s">
        <v>141</v>
      </c>
    </row>
    <row r="51" spans="3:18" ht="15.75" customHeight="1" x14ac:dyDescent="0.25">
      <c r="J51" s="22"/>
    </row>
    <row r="55" spans="3:18" ht="15.75" customHeight="1" x14ac:dyDescent="0.25">
      <c r="C55" s="26"/>
    </row>
  </sheetData>
  <conditionalFormatting sqref="N2:N38">
    <cfRule type="cellIs" dxfId="5" priority="1" operator="greaterThan">
      <formula>60</formula>
    </cfRule>
    <cfRule type="cellIs" dxfId="4" priority="2" operator="greaterThan">
      <formula>45</formula>
    </cfRule>
  </conditionalFormatting>
  <dataValidations count="1">
    <dataValidation type="list" allowBlank="1" showErrorMessage="1" sqref="B2:B38" xr:uid="{00000000-0002-0000-0800-000000000000}">
      <formula1>"Aleman,Delfin"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MOIndirectos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Julio Gonzalez</cp:lastModifiedBy>
  <dcterms:modified xsi:type="dcterms:W3CDTF">2025-12-03T23:45:59Z</dcterms:modified>
</cp:coreProperties>
</file>