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pivotTables/pivotTable1.xml" ContentType="application/vnd.openxmlformats-officedocument.spreadsheetml.pivot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17"/>
  <workbookPr filterPrivacy="1" codeName="ThisWorkbook" hidePivotFieldList="1"/>
  <xr:revisionPtr revIDLastSave="2920" documentId="13_ncr:1_{9C5F62C7-3FF3-4E1F-9ED8-0237A909A5E2}" xr6:coauthVersionLast="47" xr6:coauthVersionMax="47" xr10:uidLastSave="{538EF83E-5FD7-4A14-91ED-39295A0C7F6C}"/>
  <bookViews>
    <workbookView xWindow="-110" yWindow="-110" windowWidth="19420" windowHeight="11020" firstSheet="3" activeTab="6" xr2:uid="{00000000-000D-0000-FFFF-FFFF00000000}"/>
  </bookViews>
  <sheets>
    <sheet name="Ventas Marzo" sheetId="4" r:id="rId1"/>
    <sheet name="Ventas como provedor Marzo " sheetId="13" r:id="rId2"/>
    <sheet name="Pedidos" sheetId="3" r:id="rId3"/>
    <sheet name="Inventario" sheetId="8" r:id="rId4"/>
    <sheet name="Transpazo sucursal" sheetId="12" r:id="rId5"/>
    <sheet name="Gastos " sheetId="5" r:id="rId6"/>
    <sheet name="Banco&amp;Caja" sheetId="11" r:id="rId7"/>
    <sheet name="Reporte " sheetId="6" r:id="rId8"/>
    <sheet name="Hoja1" sheetId="9" r:id="rId9"/>
    <sheet name="Hoja2" sheetId="14" r:id="rId10"/>
  </sheets>
  <definedNames>
    <definedName name="Pedidos" localSheetId="1">Tabla2[]</definedName>
    <definedName name="Pedidos">Tabla2[]</definedName>
    <definedName name="valHighlight">IFERROR(IF(#REF!="Sí", TRUE, FALSE),FALSE)</definedName>
  </definedNames>
  <calcPr calcId="191028"/>
  <pivotCaches>
    <pivotCache cacheId="783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9" i="11" l="1"/>
  <c r="C67" i="11"/>
  <c r="B67" i="11"/>
  <c r="F3" i="6"/>
  <c r="B68" i="11"/>
  <c r="B12" i="6"/>
  <c r="F9" i="6"/>
  <c r="B14" i="6" s="1"/>
  <c r="W33" i="4"/>
  <c r="C13" i="5"/>
  <c r="D13" i="5"/>
  <c r="E13" i="5"/>
  <c r="F13" i="5"/>
  <c r="G13" i="5"/>
  <c r="H13" i="5"/>
  <c r="I13" i="5"/>
  <c r="J13" i="5"/>
  <c r="C66" i="11"/>
  <c r="U34" i="4"/>
  <c r="U33" i="4"/>
  <c r="K33" i="8"/>
  <c r="C68" i="11"/>
  <c r="B52" i="11"/>
  <c r="Y8" i="4"/>
  <c r="U8" i="4"/>
  <c r="X8" i="4"/>
  <c r="Z8" i="4"/>
  <c r="W8" i="4"/>
  <c r="Y9" i="4"/>
  <c r="U9" i="4"/>
  <c r="X9" i="4"/>
  <c r="Z9" i="4"/>
  <c r="W9" i="4"/>
  <c r="Y10" i="4"/>
  <c r="U10" i="4"/>
  <c r="X10" i="4"/>
  <c r="Z10" i="4"/>
  <c r="W10" i="4"/>
  <c r="Y11" i="4"/>
  <c r="U11" i="4"/>
  <c r="X11" i="4"/>
  <c r="Z11" i="4"/>
  <c r="W11" i="4"/>
  <c r="Y12" i="4"/>
  <c r="U12" i="4"/>
  <c r="X12" i="4"/>
  <c r="Z12" i="4"/>
  <c r="W12" i="4"/>
  <c r="Y13" i="4"/>
  <c r="U13" i="4"/>
  <c r="X13" i="4"/>
  <c r="Z13" i="4"/>
  <c r="W13" i="4"/>
  <c r="Y14" i="4"/>
  <c r="U14" i="4"/>
  <c r="X14" i="4"/>
  <c r="Z14" i="4"/>
  <c r="W14" i="4"/>
  <c r="Y15" i="4"/>
  <c r="U15" i="4"/>
  <c r="X15" i="4"/>
  <c r="Z15" i="4"/>
  <c r="W15" i="4"/>
  <c r="Y16" i="4"/>
  <c r="U16" i="4"/>
  <c r="X16" i="4"/>
  <c r="Z16" i="4"/>
  <c r="W16" i="4"/>
  <c r="Y17" i="4"/>
  <c r="U17" i="4"/>
  <c r="X17" i="4"/>
  <c r="Z17" i="4"/>
  <c r="W17" i="4"/>
  <c r="Y18" i="4"/>
  <c r="U18" i="4"/>
  <c r="X18" i="4"/>
  <c r="Z18" i="4"/>
  <c r="W18" i="4"/>
  <c r="Y19" i="4"/>
  <c r="U19" i="4"/>
  <c r="X19" i="4"/>
  <c r="Z19" i="4"/>
  <c r="W19" i="4"/>
  <c r="Y20" i="4"/>
  <c r="U20" i="4"/>
  <c r="X20" i="4"/>
  <c r="Z20" i="4"/>
  <c r="W20" i="4"/>
  <c r="Y21" i="4"/>
  <c r="U21" i="4"/>
  <c r="X21" i="4"/>
  <c r="Z21" i="4"/>
  <c r="W21" i="4"/>
  <c r="Y22" i="4"/>
  <c r="U22" i="4"/>
  <c r="X22" i="4"/>
  <c r="Z22" i="4"/>
  <c r="W22" i="4"/>
  <c r="Y23" i="4"/>
  <c r="U23" i="4"/>
  <c r="X23" i="4"/>
  <c r="Z23" i="4"/>
  <c r="W23" i="4"/>
  <c r="Y24" i="4"/>
  <c r="U24" i="4"/>
  <c r="X24" i="4"/>
  <c r="Z24" i="4"/>
  <c r="W24" i="4"/>
  <c r="Y25" i="4"/>
  <c r="U25" i="4"/>
  <c r="X25" i="4"/>
  <c r="Z25" i="4"/>
  <c r="W25" i="4"/>
  <c r="Y26" i="4"/>
  <c r="U26" i="4"/>
  <c r="X26" i="4"/>
  <c r="Z26" i="4"/>
  <c r="W26" i="4"/>
  <c r="Y27" i="4"/>
  <c r="U27" i="4"/>
  <c r="X27" i="4"/>
  <c r="Z27" i="4"/>
  <c r="W27" i="4"/>
  <c r="Y28" i="4"/>
  <c r="U28" i="4"/>
  <c r="X28" i="4"/>
  <c r="Z28" i="4"/>
  <c r="W28" i="4"/>
  <c r="Y29" i="4"/>
  <c r="U29" i="4"/>
  <c r="X29" i="4"/>
  <c r="Z29" i="4"/>
  <c r="W29" i="4"/>
  <c r="Y30" i="4"/>
  <c r="U30" i="4"/>
  <c r="X30" i="4"/>
  <c r="Z30" i="4"/>
  <c r="W30" i="4"/>
  <c r="Y31" i="4"/>
  <c r="U31" i="4"/>
  <c r="X31" i="4"/>
  <c r="Z31" i="4"/>
  <c r="W31" i="4"/>
  <c r="Y32" i="4"/>
  <c r="U32" i="4"/>
  <c r="X32" i="4"/>
  <c r="Z32" i="4"/>
  <c r="W32" i="4"/>
  <c r="Y33" i="4"/>
  <c r="AA33" i="4" s="1"/>
  <c r="X33" i="4"/>
  <c r="Z33" i="4"/>
  <c r="AB33" i="4"/>
  <c r="AC33" i="4"/>
  <c r="Y34" i="4"/>
  <c r="X34" i="4"/>
  <c r="Z34" i="4"/>
  <c r="W34" i="4"/>
  <c r="B48" i="11"/>
  <c r="D18" i="5"/>
  <c r="B18" i="5"/>
  <c r="C18" i="5"/>
  <c r="E18" i="5"/>
  <c r="F18" i="5"/>
  <c r="G18" i="5"/>
  <c r="H18" i="5"/>
  <c r="I18" i="5"/>
  <c r="J18" i="5"/>
  <c r="K18" i="5"/>
  <c r="L18" i="5"/>
  <c r="M18" i="5"/>
  <c r="F48" i="11"/>
  <c r="C11" i="5"/>
  <c r="G47" i="11"/>
  <c r="O7" i="13"/>
  <c r="P7" i="13"/>
  <c r="D21" i="8"/>
  <c r="E19" i="13"/>
  <c r="E22" i="8"/>
  <c r="E23" i="8"/>
  <c r="E24" i="8"/>
  <c r="E25" i="8"/>
  <c r="E26" i="8"/>
  <c r="E27" i="8"/>
  <c r="E28" i="8"/>
  <c r="E29" i="8"/>
  <c r="E30" i="8"/>
  <c r="E31" i="8"/>
  <c r="E32" i="8"/>
  <c r="E33" i="8"/>
  <c r="E21" i="8"/>
  <c r="F9" i="12"/>
  <c r="D22" i="8"/>
  <c r="D23" i="8"/>
  <c r="D24" i="8"/>
  <c r="D25" i="8"/>
  <c r="D26" i="8"/>
  <c r="D27" i="8"/>
  <c r="D28" i="8"/>
  <c r="D29" i="8"/>
  <c r="D30" i="8"/>
  <c r="D31" i="8"/>
  <c r="D32" i="8"/>
  <c r="D33" i="8"/>
  <c r="C33" i="8"/>
  <c r="F33" i="8" s="1"/>
  <c r="F108" i="3"/>
  <c r="O8" i="13"/>
  <c r="P8" i="13"/>
  <c r="O9" i="13"/>
  <c r="P9" i="13"/>
  <c r="O10" i="13"/>
  <c r="P10" i="13"/>
  <c r="O11" i="13"/>
  <c r="P11" i="13"/>
  <c r="O12" i="13"/>
  <c r="P12" i="13"/>
  <c r="O13" i="13"/>
  <c r="P13" i="13"/>
  <c r="O14" i="13"/>
  <c r="P14" i="13"/>
  <c r="O15" i="13"/>
  <c r="P15" i="13"/>
  <c r="O16" i="13"/>
  <c r="P16" i="13"/>
  <c r="O17" i="13"/>
  <c r="P17" i="13"/>
  <c r="O18" i="13"/>
  <c r="P18" i="13"/>
  <c r="M19" i="13"/>
  <c r="L19" i="13"/>
  <c r="K19" i="13"/>
  <c r="J19" i="13"/>
  <c r="I19" i="13"/>
  <c r="H19" i="13"/>
  <c r="G19" i="13"/>
  <c r="F19" i="13"/>
  <c r="C46" i="11"/>
  <c r="B46" i="11"/>
  <c r="C45" i="11"/>
  <c r="G64" i="11"/>
  <c r="B45" i="11"/>
  <c r="B44" i="11"/>
  <c r="C16" i="8"/>
  <c r="C13" i="8"/>
  <c r="C18" i="8"/>
  <c r="C15" i="8"/>
  <c r="C9" i="8"/>
  <c r="C17" i="8"/>
  <c r="C19" i="8"/>
  <c r="C11" i="8"/>
  <c r="C14" i="8"/>
  <c r="C5" i="8"/>
  <c r="C7" i="8"/>
  <c r="C6" i="8"/>
  <c r="C22" i="8"/>
  <c r="C23" i="8"/>
  <c r="C24" i="8"/>
  <c r="C29" i="8"/>
  <c r="C25" i="8"/>
  <c r="C26" i="8"/>
  <c r="C32" i="8"/>
  <c r="C44" i="11"/>
  <c r="T35" i="4"/>
  <c r="C41" i="11"/>
  <c r="C25" i="11"/>
  <c r="F97" i="3"/>
  <c r="B36" i="11"/>
  <c r="C36" i="11"/>
  <c r="B32" i="11"/>
  <c r="B31" i="11"/>
  <c r="F45" i="11"/>
  <c r="F24" i="11"/>
  <c r="G18" i="11"/>
  <c r="B26" i="11"/>
  <c r="C24" i="11"/>
  <c r="B23" i="11"/>
  <c r="C23" i="11"/>
  <c r="C10" i="8"/>
  <c r="D111" i="3"/>
  <c r="F14" i="11"/>
  <c r="B19" i="11"/>
  <c r="C17" i="11"/>
  <c r="B17" i="11"/>
  <c r="F12" i="11"/>
  <c r="B14" i="11"/>
  <c r="C14" i="11"/>
  <c r="I15" i="9"/>
  <c r="L12" i="9"/>
  <c r="L14" i="9"/>
  <c r="L15" i="9"/>
  <c r="F11" i="11"/>
  <c r="F9" i="11"/>
  <c r="B10" i="11"/>
  <c r="F8" i="11"/>
  <c r="F64" i="11"/>
  <c r="B17" i="6"/>
  <c r="B12" i="11"/>
  <c r="C10" i="11"/>
  <c r="C7" i="11"/>
  <c r="C3" i="11"/>
  <c r="B4" i="11"/>
  <c r="G3" i="11"/>
  <c r="E35" i="4"/>
  <c r="F35" i="4"/>
  <c r="G35" i="4"/>
  <c r="H35" i="4"/>
  <c r="I35" i="4"/>
  <c r="J35" i="4"/>
  <c r="K35" i="4"/>
  <c r="L35" i="4"/>
  <c r="I7" i="9"/>
  <c r="L4" i="9"/>
  <c r="L6" i="9"/>
  <c r="B7" i="9"/>
  <c r="E4" i="9"/>
  <c r="E6" i="9"/>
  <c r="E7" i="9"/>
  <c r="B13" i="6"/>
  <c r="L7" i="9"/>
  <c r="B5" i="6"/>
  <c r="V35" i="4"/>
  <c r="D4" i="6"/>
  <c r="D3" i="6"/>
  <c r="D35" i="4"/>
  <c r="F18" i="8"/>
  <c r="F9" i="8"/>
  <c r="F14" i="8"/>
  <c r="F16" i="8"/>
  <c r="F13" i="8"/>
  <c r="F15" i="8"/>
  <c r="F17" i="8"/>
  <c r="F11" i="8"/>
  <c r="F5" i="8"/>
  <c r="F6" i="8"/>
  <c r="F7" i="8"/>
  <c r="F19" i="8"/>
  <c r="F10" i="8"/>
  <c r="C21" i="8"/>
  <c r="C28" i="8"/>
  <c r="C31" i="8"/>
  <c r="C27" i="8"/>
  <c r="C12" i="8"/>
  <c r="G7" i="8"/>
  <c r="F12" i="8"/>
  <c r="G20" i="8"/>
  <c r="P19" i="13"/>
  <c r="F32" i="8"/>
  <c r="F22" i="8"/>
  <c r="F26" i="8"/>
  <c r="F23" i="8"/>
  <c r="F25" i="8"/>
  <c r="F27" i="8"/>
  <c r="F24" i="8"/>
  <c r="F29" i="8"/>
  <c r="F21" i="8"/>
  <c r="F28" i="8"/>
  <c r="F31" i="8"/>
  <c r="B16" i="6"/>
  <c r="B18" i="6" s="1"/>
  <c r="C30" i="8"/>
  <c r="U35" i="4"/>
  <c r="Z35" i="4"/>
  <c r="F30" i="8"/>
  <c r="G34" i="8"/>
  <c r="G72" i="11" l="1"/>
  <c r="AA34" i="4"/>
  <c r="AB34" i="4" s="1"/>
  <c r="AC34" i="4" s="1"/>
  <c r="AA32" i="4"/>
  <c r="AB32" i="4" s="1"/>
  <c r="AC32" i="4" s="1"/>
  <c r="AA31" i="4"/>
  <c r="AB31" i="4" s="1"/>
  <c r="AC31" i="4" s="1"/>
  <c r="AA30" i="4"/>
  <c r="AB30" i="4" s="1"/>
  <c r="AC30" i="4" s="1"/>
  <c r="AA29" i="4"/>
  <c r="AB29" i="4" s="1"/>
  <c r="AC29" i="4" s="1"/>
  <c r="AA28" i="4"/>
  <c r="AB28" i="4" s="1"/>
  <c r="AC28" i="4" s="1"/>
  <c r="AA27" i="4"/>
  <c r="AB27" i="4" s="1"/>
  <c r="AC27" i="4" s="1"/>
  <c r="AA26" i="4"/>
  <c r="AB26" i="4" s="1"/>
  <c r="AC26" i="4" s="1"/>
  <c r="AA25" i="4"/>
  <c r="AB25" i="4" s="1"/>
  <c r="AC25" i="4" s="1"/>
  <c r="AA24" i="4"/>
  <c r="AB24" i="4" s="1"/>
  <c r="AC24" i="4" s="1"/>
  <c r="AA23" i="4"/>
  <c r="AB23" i="4" s="1"/>
  <c r="AC23" i="4" s="1"/>
  <c r="AA22" i="4"/>
  <c r="AB22" i="4" s="1"/>
  <c r="AC22" i="4" s="1"/>
  <c r="AA21" i="4"/>
  <c r="AB21" i="4" s="1"/>
  <c r="AC21" i="4" s="1"/>
  <c r="AA20" i="4"/>
  <c r="AB20" i="4" s="1"/>
  <c r="AC20" i="4" s="1"/>
  <c r="AA19" i="4"/>
  <c r="AB19" i="4" s="1"/>
  <c r="AC19" i="4" s="1"/>
  <c r="AA18" i="4"/>
  <c r="AB18" i="4" s="1"/>
  <c r="AC18" i="4" s="1"/>
  <c r="AA17" i="4"/>
  <c r="AB17" i="4" s="1"/>
  <c r="AC17" i="4" s="1"/>
  <c r="AA16" i="4"/>
  <c r="AB16" i="4" s="1"/>
  <c r="AC16" i="4" s="1"/>
  <c r="AA15" i="4"/>
  <c r="AB15" i="4" s="1"/>
  <c r="AC15" i="4" s="1"/>
  <c r="AA14" i="4"/>
  <c r="AA13" i="4"/>
  <c r="AB13" i="4" s="1"/>
  <c r="AC13" i="4" s="1"/>
  <c r="AA12" i="4"/>
  <c r="AB12" i="4" s="1"/>
  <c r="AC12" i="4" s="1"/>
  <c r="AA11" i="4"/>
  <c r="AB11" i="4" s="1"/>
  <c r="AC11" i="4" s="1"/>
  <c r="AA10" i="4"/>
  <c r="AB10" i="4" s="1"/>
  <c r="AC10" i="4" s="1"/>
  <c r="AA9" i="4"/>
  <c r="AA8" i="4"/>
  <c r="AB8" i="4"/>
  <c r="AC8" i="4" s="1"/>
  <c r="AB14" i="4"/>
  <c r="AC14" i="4" s="1"/>
  <c r="W35" i="4"/>
  <c r="B11" i="5" s="1"/>
  <c r="B13" i="5" s="1"/>
  <c r="K13" i="5" s="1"/>
  <c r="B8" i="6" s="1"/>
  <c r="AB9" i="4" l="1"/>
  <c r="AA35" i="4"/>
  <c r="B9" i="6" s="1"/>
  <c r="B10" i="6"/>
  <c r="AC9" i="4" l="1"/>
  <c r="AC35" i="4" s="1"/>
  <c r="AB35" i="4"/>
  <c r="C3" i="6"/>
  <c r="C4" i="6"/>
</calcChain>
</file>

<file path=xl/sharedStrings.xml><?xml version="1.0" encoding="utf-8"?>
<sst xmlns="http://schemas.openxmlformats.org/spreadsheetml/2006/main" count="745" uniqueCount="167">
  <si>
    <t>Ventas</t>
  </si>
  <si>
    <t>Tipo</t>
  </si>
  <si>
    <t>Marca</t>
  </si>
  <si>
    <t>Costo unitario</t>
  </si>
  <si>
    <t xml:space="preserve">Precio de venta </t>
  </si>
  <si>
    <t>CUBE</t>
  </si>
  <si>
    <t xml:space="preserve">IPLAY </t>
  </si>
  <si>
    <t>MAX</t>
  </si>
  <si>
    <t>Cristal</t>
  </si>
  <si>
    <t>ELF BAR</t>
  </si>
  <si>
    <t xml:space="preserve">Tipo </t>
  </si>
  <si>
    <t xml:space="preserve">Sabor </t>
  </si>
  <si>
    <t>Ventas anteriores</t>
  </si>
  <si>
    <t>28/03/2022</t>
  </si>
  <si>
    <t>29/03/2022</t>
  </si>
  <si>
    <t>30/03/2022</t>
  </si>
  <si>
    <t>31/03/2022</t>
  </si>
  <si>
    <t>01/04/2022</t>
  </si>
  <si>
    <t>02/04/2022</t>
  </si>
  <si>
    <t>03/04/2022</t>
  </si>
  <si>
    <t>04/04/2022</t>
  </si>
  <si>
    <t>06/04/20228</t>
  </si>
  <si>
    <t>07/04/20227</t>
  </si>
  <si>
    <t>08/04/20226</t>
  </si>
  <si>
    <t>09/04/20225</t>
  </si>
  <si>
    <t>10/04/20224</t>
  </si>
  <si>
    <t>11/04/20223</t>
  </si>
  <si>
    <t>12/04/20222</t>
  </si>
  <si>
    <t>13/04/2023</t>
  </si>
  <si>
    <t>Total de uni/vendi</t>
  </si>
  <si>
    <t>Promocion</t>
  </si>
  <si>
    <t>Descuento</t>
  </si>
  <si>
    <t>Costo</t>
  </si>
  <si>
    <t>Ventas totales</t>
  </si>
  <si>
    <t>Utilidad</t>
  </si>
  <si>
    <t>Utilidad Neta</t>
  </si>
  <si>
    <t>IPLAY</t>
  </si>
  <si>
    <t>Energy ICE</t>
  </si>
  <si>
    <t>Mango ICE</t>
  </si>
  <si>
    <t>Cola ICE</t>
  </si>
  <si>
    <t>Grape soda</t>
  </si>
  <si>
    <t>Strawberry Lychee</t>
  </si>
  <si>
    <t>Lemonade</t>
  </si>
  <si>
    <t>Banana Ice</t>
  </si>
  <si>
    <t>Peach Candy</t>
  </si>
  <si>
    <t>Watermelon</t>
  </si>
  <si>
    <t>Double apple</t>
  </si>
  <si>
    <t>ICE Water</t>
  </si>
  <si>
    <t>Banana ICE</t>
  </si>
  <si>
    <t>Pineaple ICE</t>
  </si>
  <si>
    <t>Grapestraw</t>
  </si>
  <si>
    <t>Berry Watermelon</t>
  </si>
  <si>
    <t>Guava</t>
  </si>
  <si>
    <t>Cool mint</t>
  </si>
  <si>
    <t>Bluerazz</t>
  </si>
  <si>
    <t>Sour Apple</t>
  </si>
  <si>
    <t>GrapeFruit berry</t>
  </si>
  <si>
    <t>Cocumber Lemonade</t>
  </si>
  <si>
    <t>Lush Ice</t>
  </si>
  <si>
    <t>Lemon cookies</t>
  </si>
  <si>
    <t>Coconut</t>
  </si>
  <si>
    <t>Fecha</t>
  </si>
  <si>
    <t>Cantidad</t>
  </si>
  <si>
    <t xml:space="preserve">Tabla de descuento </t>
  </si>
  <si>
    <t>Rango</t>
  </si>
  <si>
    <t xml:space="preserve">Precio venta </t>
  </si>
  <si>
    <t>Promocion 5</t>
  </si>
  <si>
    <t>Promocion 1</t>
  </si>
  <si>
    <t>15-20</t>
  </si>
  <si>
    <t>Promocion 2</t>
  </si>
  <si>
    <t>21-30</t>
  </si>
  <si>
    <t>Promocion 3</t>
  </si>
  <si>
    <t>31-40</t>
  </si>
  <si>
    <t>Promocion 4</t>
  </si>
  <si>
    <t>41-50</t>
  </si>
  <si>
    <t>50-70</t>
  </si>
  <si>
    <t xml:space="preserve">Pedidos </t>
  </si>
  <si>
    <t>GrapeStraw</t>
  </si>
  <si>
    <t>Etiquetas de fila</t>
  </si>
  <si>
    <t>Suma de Cantidad</t>
  </si>
  <si>
    <t xml:space="preserve">Unidades vendidas </t>
  </si>
  <si>
    <t>Unidades vendidas c/p</t>
  </si>
  <si>
    <t>Transpazo sucursal</t>
  </si>
  <si>
    <t>Inventario</t>
  </si>
  <si>
    <t>(en blanco)</t>
  </si>
  <si>
    <t>Total general</t>
  </si>
  <si>
    <t>Gastos</t>
  </si>
  <si>
    <t>Columna1</t>
  </si>
  <si>
    <t>06/04/2022</t>
  </si>
  <si>
    <t>11/03/2023</t>
  </si>
  <si>
    <t>Total</t>
  </si>
  <si>
    <t>Saldo anterior</t>
  </si>
  <si>
    <t>Proveedores</t>
  </si>
  <si>
    <t>The vape shop</t>
  </si>
  <si>
    <t>Vapezone</t>
  </si>
  <si>
    <t>IPLAX PROVEEDOR</t>
  </si>
  <si>
    <t>Vape defectuoso</t>
  </si>
  <si>
    <t>Depostio/uber</t>
  </si>
  <si>
    <t>Descuentos</t>
  </si>
  <si>
    <t>Proveedores Maza</t>
  </si>
  <si>
    <t xml:space="preserve">Reparto de utilidades </t>
  </si>
  <si>
    <t>28/03/2023</t>
  </si>
  <si>
    <t>28/03/2024</t>
  </si>
  <si>
    <t>28/03/2025</t>
  </si>
  <si>
    <t>28/03/2026</t>
  </si>
  <si>
    <t>28/03/2027</t>
  </si>
  <si>
    <t>28/03/2028</t>
  </si>
  <si>
    <t>28/03/2029</t>
  </si>
  <si>
    <t>28/03/2030</t>
  </si>
  <si>
    <t>28/03/2031</t>
  </si>
  <si>
    <t>28/03/2032</t>
  </si>
  <si>
    <t>Hugo</t>
  </si>
  <si>
    <t>Julio</t>
  </si>
  <si>
    <t xml:space="preserve">Julio </t>
  </si>
  <si>
    <t xml:space="preserve">Concepto </t>
  </si>
  <si>
    <t>Banco</t>
  </si>
  <si>
    <t>Efecitvo</t>
  </si>
  <si>
    <t>Venta</t>
  </si>
  <si>
    <t>Retiro caja chica</t>
  </si>
  <si>
    <t xml:space="preserve">Deposito Julio </t>
  </si>
  <si>
    <t>Deposito</t>
  </si>
  <si>
    <t>Retiro de caja</t>
  </si>
  <si>
    <t>Deposito Oxxo</t>
  </si>
  <si>
    <t>Transferencia a hugo</t>
  </si>
  <si>
    <t xml:space="preserve">Compra a proveedor </t>
  </si>
  <si>
    <t>Cambio por tranfer</t>
  </si>
  <si>
    <t xml:space="preserve">Prestamo </t>
  </si>
  <si>
    <t>venta</t>
  </si>
  <si>
    <t xml:space="preserve">Retiro banco </t>
  </si>
  <si>
    <t xml:space="preserve">Venta </t>
  </si>
  <si>
    <t>Transferencia a caja</t>
  </si>
  <si>
    <t>Agerre</t>
  </si>
  <si>
    <t>Reparto Utilidad Hugo</t>
  </si>
  <si>
    <t>Reparto Utilidad Julio</t>
  </si>
  <si>
    <t>Pago Provedor</t>
  </si>
  <si>
    <t>Transpaso</t>
  </si>
  <si>
    <t>Deposito Hugo</t>
  </si>
  <si>
    <t>Transferencia Julio</t>
  </si>
  <si>
    <t>Abono</t>
  </si>
  <si>
    <t xml:space="preserve">Pago proveedor </t>
  </si>
  <si>
    <t>Uber</t>
  </si>
  <si>
    <t>Socios</t>
  </si>
  <si>
    <t xml:space="preserve">Inversion </t>
  </si>
  <si>
    <t>Uilidades recibidas</t>
  </si>
  <si>
    <t>Pendientes de pago</t>
  </si>
  <si>
    <t>Jorge</t>
  </si>
  <si>
    <t>Jorge-Andre</t>
  </si>
  <si>
    <t>Capital Total</t>
  </si>
  <si>
    <t>Reparto Utilidades</t>
  </si>
  <si>
    <t xml:space="preserve">Dinero </t>
  </si>
  <si>
    <t>Efectivo</t>
  </si>
  <si>
    <t>IPLAY CUBE</t>
  </si>
  <si>
    <t>IPLAY max</t>
  </si>
  <si>
    <t xml:space="preserve">Cantidad </t>
  </si>
  <si>
    <t>Precio</t>
  </si>
  <si>
    <t xml:space="preserve">Envio </t>
  </si>
  <si>
    <t>Ganancia</t>
  </si>
  <si>
    <t>c</t>
  </si>
  <si>
    <t>h</t>
  </si>
  <si>
    <t>s</t>
  </si>
  <si>
    <t>d</t>
  </si>
  <si>
    <t>m</t>
  </si>
  <si>
    <t>j</t>
  </si>
  <si>
    <t>Salud</t>
  </si>
  <si>
    <t>cerca</t>
  </si>
  <si>
    <t xml:space="preserve">Alcance </t>
  </si>
  <si>
    <t>Digital,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</si>
</sst>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_(* #,##0_);_(* \(#,##0\);_(* &quot;-&quot;_);_(@_)"/>
    <numFmt numFmtId="167" formatCode="_(* #,##0.00_);_(* \(#,##0.00\);_(* &quot;-&quot;??_);_(@_)"/>
    <numFmt numFmtId="168" formatCode="0.0"/>
    <numFmt numFmtId="169" formatCode="_-&quot;$&quot;* #,##0.00_-;\-&quot;$&quot;* #,##0.00_-;_-&quot;$&quot;* &quot;-&quot;_-;_-@_-"/>
    <numFmt numFmtId="170" formatCode="_-&quot;$&quot;* #,##0.000_-;\-&quot;$&quot;* #,##0.000_-;_-&quot;$&quot;* &quot;-&quot;_-;_-@_-"/>
    <numFmt numFmtId="171" formatCode="_-&quot;$&quot;* #,##0.000_-;\-&quot;$&quot;* #,##0.000_-;_-&quot;$&quot;* &quot;-&quot;???_-;_-@_-"/>
  </numFmts>
  <fonts count="19"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8"/>
      <color theme="3"/>
      <name val="Franklin Gothic Book"/>
      <family val="2"/>
      <scheme val="major"/>
    </font>
    <font>
      <b/>
      <sz val="15"/>
      <color theme="3"/>
      <name val="Franklin Gothic Book"/>
      <family val="2"/>
      <scheme val="minor"/>
    </font>
    <font>
      <b/>
      <sz val="13"/>
      <color theme="3"/>
      <name val="Franklin Gothic Book"/>
      <family val="2"/>
      <scheme val="minor"/>
    </font>
    <font>
      <b/>
      <sz val="11"/>
      <color theme="3"/>
      <name val="Franklin Gothic Book"/>
      <family val="2"/>
      <scheme val="minor"/>
    </font>
    <font>
      <sz val="11"/>
      <color rgb="FF006100"/>
      <name val="Franklin Gothic Book"/>
      <family val="2"/>
      <scheme val="minor"/>
    </font>
    <font>
      <sz val="11"/>
      <color rgb="FF9C0006"/>
      <name val="Franklin Gothic Book"/>
      <family val="2"/>
      <scheme val="minor"/>
    </font>
    <font>
      <sz val="11"/>
      <color rgb="FF9C5700"/>
      <name val="Franklin Gothic Book"/>
      <family val="2"/>
      <scheme val="minor"/>
    </font>
    <font>
      <sz val="11"/>
      <color rgb="FF3F3F76"/>
      <name val="Franklin Gothic Book"/>
      <family val="2"/>
      <scheme val="minor"/>
    </font>
    <font>
      <b/>
      <sz val="11"/>
      <color rgb="FF3F3F3F"/>
      <name val="Franklin Gothic Book"/>
      <family val="2"/>
      <scheme val="minor"/>
    </font>
    <font>
      <b/>
      <sz val="11"/>
      <color rgb="FFFA7D00"/>
      <name val="Franklin Gothic Book"/>
      <family val="2"/>
      <scheme val="minor"/>
    </font>
    <font>
      <sz val="11"/>
      <color rgb="FFFA7D00"/>
      <name val="Franklin Gothic Book"/>
      <family val="2"/>
      <scheme val="minor"/>
    </font>
    <font>
      <b/>
      <sz val="11"/>
      <color theme="0"/>
      <name val="Franklin Gothic Book"/>
      <family val="2"/>
      <scheme val="minor"/>
    </font>
    <font>
      <sz val="11"/>
      <color rgb="FFFF0000"/>
      <name val="Franklin Gothic Book"/>
      <family val="2"/>
      <scheme val="minor"/>
    </font>
    <font>
      <i/>
      <sz val="11"/>
      <color rgb="FF7F7F7F"/>
      <name val="Franklin Gothic Book"/>
      <family val="2"/>
      <scheme val="minor"/>
    </font>
    <font>
      <b/>
      <sz val="11"/>
      <color theme="1"/>
      <name val="Franklin Gothic Book"/>
      <family val="2"/>
      <scheme val="minor"/>
    </font>
    <font>
      <sz val="11"/>
      <color theme="0"/>
      <name val="Franklin Gothic Book"/>
      <family val="2"/>
      <scheme val="minor"/>
    </font>
    <font>
      <sz val="8"/>
      <name val="Franklin Gothic Book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6"/>
        <bgColor theme="6"/>
      </patternFill>
    </fill>
    <fill>
      <patternFill patternType="solid">
        <fgColor rgb="FF00CC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indexed="64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indexed="64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double">
        <color theme="6"/>
      </top>
      <bottom style="thin">
        <color theme="6" tint="0.39997558519241921"/>
      </bottom>
      <diagonal/>
    </border>
    <border>
      <left/>
      <right/>
      <top style="double">
        <color theme="6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theme="6" tint="0.39997558519241921"/>
      </top>
      <bottom/>
      <diagonal/>
    </border>
    <border>
      <left/>
      <right/>
      <top style="thin">
        <color theme="6" tint="0.39997558519241921"/>
      </top>
      <bottom/>
      <diagonal/>
    </border>
  </borders>
  <cellStyleXfs count="47">
    <xf numFmtId="0" fontId="0" fillId="0" borderId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9">
    <xf numFmtId="0" fontId="0" fillId="0" borderId="0" xfId="0"/>
    <xf numFmtId="0" fontId="0" fillId="0" borderId="10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14" fontId="0" fillId="0" borderId="0" xfId="0" applyNumberFormat="1"/>
    <xf numFmtId="164" fontId="0" fillId="0" borderId="0" xfId="3" applyNumberFormat="1" applyFont="1" applyFill="1"/>
    <xf numFmtId="164" fontId="0" fillId="0" borderId="0" xfId="3" applyNumberFormat="1" applyFont="1"/>
    <xf numFmtId="164" fontId="0" fillId="0" borderId="0" xfId="0" applyNumberFormat="1"/>
    <xf numFmtId="165" fontId="0" fillId="0" borderId="0" xfId="0" applyNumberFormat="1"/>
    <xf numFmtId="164" fontId="0" fillId="0" borderId="10" xfId="3" applyNumberFormat="1" applyFont="1" applyBorder="1"/>
    <xf numFmtId="0" fontId="0" fillId="0" borderId="0" xfId="0" pivotButton="1" applyAlignment="1">
      <alignment horizontal="left" vertical="center"/>
    </xf>
    <xf numFmtId="1" fontId="0" fillId="0" borderId="0" xfId="0" applyNumberFormat="1"/>
    <xf numFmtId="168" fontId="0" fillId="0" borderId="0" xfId="0" applyNumberFormat="1"/>
    <xf numFmtId="44" fontId="0" fillId="0" borderId="0" xfId="3" applyFont="1"/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left"/>
    </xf>
    <xf numFmtId="0" fontId="0" fillId="0" borderId="11" xfId="0" applyBorder="1" applyAlignment="1">
      <alignment horizontal="center"/>
    </xf>
    <xf numFmtId="169" fontId="0" fillId="0" borderId="0" xfId="0" applyNumberFormat="1"/>
    <xf numFmtId="44" fontId="0" fillId="0" borderId="0" xfId="3" applyFont="1" applyFill="1" applyBorder="1"/>
    <xf numFmtId="44" fontId="0" fillId="0" borderId="0" xfId="3" applyFont="1" applyFill="1"/>
    <xf numFmtId="164" fontId="0" fillId="33" borderId="12" xfId="3" applyNumberFormat="1" applyFont="1" applyFill="1" applyBorder="1"/>
    <xf numFmtId="164" fontId="0" fillId="0" borderId="12" xfId="3" applyNumberFormat="1" applyFont="1" applyBorder="1"/>
    <xf numFmtId="164" fontId="0" fillId="0" borderId="10" xfId="0" applyNumberFormat="1" applyBorder="1"/>
    <xf numFmtId="170" fontId="0" fillId="0" borderId="0" xfId="0" applyNumberFormat="1"/>
    <xf numFmtId="171" fontId="0" fillId="0" borderId="0" xfId="0" applyNumberFormat="1"/>
    <xf numFmtId="0" fontId="13" fillId="34" borderId="13" xfId="0" applyFont="1" applyFill="1" applyBorder="1" applyAlignment="1">
      <alignment horizontal="center" vertical="center"/>
    </xf>
    <xf numFmtId="0" fontId="13" fillId="34" borderId="12" xfId="0" applyFont="1" applyFill="1" applyBorder="1" applyAlignment="1">
      <alignment horizontal="center" vertical="center"/>
    </xf>
    <xf numFmtId="0" fontId="0" fillId="33" borderId="13" xfId="0" applyFill="1" applyBorder="1" applyAlignment="1">
      <alignment horizontal="center" vertical="center"/>
    </xf>
    <xf numFmtId="0" fontId="0" fillId="33" borderId="12" xfId="0" applyFill="1" applyBorder="1" applyAlignment="1">
      <alignment horizontal="center" vertical="center"/>
    </xf>
    <xf numFmtId="0" fontId="0" fillId="33" borderId="12" xfId="0" applyFill="1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33" borderId="12" xfId="0" applyFill="1" applyBorder="1" applyAlignment="1">
      <alignment horizontal="left"/>
    </xf>
    <xf numFmtId="0" fontId="0" fillId="33" borderId="12" xfId="0" applyFill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/>
    </xf>
    <xf numFmtId="0" fontId="0" fillId="0" borderId="14" xfId="0" applyBorder="1" applyAlignment="1">
      <alignment horizontal="center"/>
    </xf>
    <xf numFmtId="0" fontId="0" fillId="33" borderId="14" xfId="0" applyFill="1" applyBorder="1" applyAlignment="1">
      <alignment horizontal="left"/>
    </xf>
    <xf numFmtId="0" fontId="0" fillId="33" borderId="14" xfId="0" applyFill="1" applyBorder="1" applyAlignment="1">
      <alignment horizontal="center"/>
    </xf>
    <xf numFmtId="0" fontId="0" fillId="33" borderId="15" xfId="0" applyFill="1" applyBorder="1" applyAlignment="1">
      <alignment horizontal="center" vertical="center"/>
    </xf>
    <xf numFmtId="0" fontId="0" fillId="33" borderId="14" xfId="0" applyFill="1" applyBorder="1" applyAlignment="1">
      <alignment horizontal="center" vertical="center"/>
    </xf>
    <xf numFmtId="0" fontId="0" fillId="35" borderId="0" xfId="0" applyFill="1" applyAlignment="1">
      <alignment horizontal="left" vertical="center"/>
    </xf>
    <xf numFmtId="0" fontId="16" fillId="0" borderId="17" xfId="0" applyFont="1" applyBorder="1"/>
    <xf numFmtId="0" fontId="0" fillId="0" borderId="11" xfId="0" applyBorder="1" applyAlignment="1">
      <alignment horizontal="left" vertical="center"/>
    </xf>
    <xf numFmtId="0" fontId="0" fillId="0" borderId="0" xfId="0" applyAlignment="1">
      <alignment vertical="center"/>
    </xf>
    <xf numFmtId="0" fontId="13" fillId="34" borderId="18" xfId="0" applyFont="1" applyFill="1" applyBorder="1"/>
    <xf numFmtId="0" fontId="13" fillId="34" borderId="19" xfId="0" applyFont="1" applyFill="1" applyBorder="1"/>
    <xf numFmtId="14" fontId="13" fillId="34" borderId="19" xfId="0" applyNumberFormat="1" applyFont="1" applyFill="1" applyBorder="1"/>
    <xf numFmtId="0" fontId="0" fillId="33" borderId="18" xfId="0" applyFill="1" applyBorder="1" applyAlignment="1">
      <alignment horizontal="center" vertical="center"/>
    </xf>
    <xf numFmtId="0" fontId="0" fillId="33" borderId="19" xfId="0" applyFill="1" applyBorder="1" applyAlignment="1">
      <alignment horizontal="center" vertical="center"/>
    </xf>
    <xf numFmtId="0" fontId="0" fillId="33" borderId="19" xfId="0" applyFill="1" applyBorder="1" applyAlignment="1">
      <alignment horizontal="left"/>
    </xf>
    <xf numFmtId="0" fontId="0" fillId="33" borderId="19" xfId="0" applyFill="1" applyBorder="1"/>
    <xf numFmtId="164" fontId="0" fillId="33" borderId="19" xfId="3" applyNumberFormat="1" applyFont="1" applyFill="1" applyBorder="1"/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9" xfId="0" applyBorder="1" applyAlignment="1">
      <alignment horizontal="left"/>
    </xf>
    <xf numFmtId="0" fontId="0" fillId="0" borderId="19" xfId="0" applyBorder="1"/>
    <xf numFmtId="164" fontId="0" fillId="0" borderId="19" xfId="3" applyNumberFormat="1" applyFont="1" applyBorder="1"/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7" xfId="0" applyFont="1" applyBorder="1" applyAlignment="1">
      <alignment horizontal="left"/>
    </xf>
    <xf numFmtId="164" fontId="16" fillId="0" borderId="17" xfId="0" applyNumberFormat="1" applyFont="1" applyBorder="1"/>
    <xf numFmtId="2" fontId="0" fillId="0" borderId="0" xfId="0" applyNumberFormat="1"/>
  </cellXfs>
  <cellStyles count="47">
    <cellStyle name="20% - Énfasis1" xfId="24" builtinId="30" customBuiltin="1"/>
    <cellStyle name="20% - Énfasis2" xfId="28" builtinId="34" customBuiltin="1"/>
    <cellStyle name="20% - Énfasis3" xfId="32" builtinId="38" customBuiltin="1"/>
    <cellStyle name="20% - Énfasis4" xfId="36" builtinId="42" customBuiltin="1"/>
    <cellStyle name="20% - Énfasis5" xfId="40" builtinId="46" customBuiltin="1"/>
    <cellStyle name="20% - Énfasis6" xfId="44" builtinId="50" customBuiltin="1"/>
    <cellStyle name="40% - Énfasis1" xfId="25" builtinId="31" customBuiltin="1"/>
    <cellStyle name="40% - Énfasis2" xfId="29" builtinId="35" customBuiltin="1"/>
    <cellStyle name="40% - Énfasis3" xfId="33" builtinId="39" customBuiltin="1"/>
    <cellStyle name="40% - Énfasis4" xfId="37" builtinId="43" customBuiltin="1"/>
    <cellStyle name="40% - Énfasis5" xfId="41" builtinId="47" customBuiltin="1"/>
    <cellStyle name="40% - Énfasis6" xfId="45" builtinId="51" customBuiltin="1"/>
    <cellStyle name="60% - Énfasis1" xfId="26" builtinId="32" customBuiltin="1"/>
    <cellStyle name="60% - Énfasis2" xfId="30" builtinId="36" customBuiltin="1"/>
    <cellStyle name="60% - Énfasis3" xfId="34" builtinId="40" customBuiltin="1"/>
    <cellStyle name="60% - Énfasis4" xfId="38" builtinId="44" customBuiltin="1"/>
    <cellStyle name="60% - Énfasis5" xfId="42" builtinId="48" customBuiltin="1"/>
    <cellStyle name="60% - Énfasis6" xfId="46" builtinId="52" customBuiltin="1"/>
    <cellStyle name="Bueno" xfId="11" builtinId="26" customBuiltin="1"/>
    <cellStyle name="Cálculo" xfId="16" builtinId="22" customBuiltin="1"/>
    <cellStyle name="Celda de comprobación" xfId="18" builtinId="23" customBuiltin="1"/>
    <cellStyle name="Celda vinculada" xfId="17" builtinId="24" customBuiltin="1"/>
    <cellStyle name="Encabezado 1" xfId="7" builtinId="16" customBuiltin="1"/>
    <cellStyle name="Encabezado 4" xfId="10" builtinId="19" customBuiltin="1"/>
    <cellStyle name="Énfasis1" xfId="23" builtinId="29" customBuiltin="1"/>
    <cellStyle name="Énfasis2" xfId="27" builtinId="33" customBuiltin="1"/>
    <cellStyle name="Énfasis3" xfId="31" builtinId="37" customBuiltin="1"/>
    <cellStyle name="Énfasis4" xfId="35" builtinId="41" customBuiltin="1"/>
    <cellStyle name="Énfasis5" xfId="39" builtinId="45" customBuiltin="1"/>
    <cellStyle name="Énfasis6" xfId="43" builtinId="49" customBuiltin="1"/>
    <cellStyle name="Entrada" xfId="14" builtinId="20" customBuiltin="1"/>
    <cellStyle name="Incorrecto" xfId="12" builtinId="27" customBuiltin="1"/>
    <cellStyle name="Millares" xfId="1" builtinId="3" customBuiltin="1"/>
    <cellStyle name="Millares [0]" xfId="2" builtinId="6" customBuiltin="1"/>
    <cellStyle name="Moneda" xfId="3" builtinId="4" customBuiltin="1"/>
    <cellStyle name="Moneda [0]" xfId="4" builtinId="7" customBuiltin="1"/>
    <cellStyle name="Neutral" xfId="13" builtinId="28" customBuiltin="1"/>
    <cellStyle name="Normal" xfId="0" builtinId="0" customBuiltin="1"/>
    <cellStyle name="Notas" xfId="20" builtinId="10" customBuiltin="1"/>
    <cellStyle name="Porcentaje" xfId="5" builtinId="5" customBuiltin="1"/>
    <cellStyle name="Salida" xfId="15" builtinId="21" customBuiltin="1"/>
    <cellStyle name="Texto de advertencia" xfId="19" builtinId="11" customBuiltin="1"/>
    <cellStyle name="Texto explicativo" xfId="21" builtinId="53" customBuiltin="1"/>
    <cellStyle name="Título" xfId="6" builtinId="15" customBuiltin="1"/>
    <cellStyle name="Título 2" xfId="8" builtinId="17" customBuiltin="1"/>
    <cellStyle name="Título 3" xfId="9" builtinId="18" customBuiltin="1"/>
    <cellStyle name="Total" xfId="22" builtinId="25" customBuiltin="1"/>
  </cellStyles>
  <dxfs count="121"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minor"/>
      </font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2" formatCode="0.00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minor"/>
      </font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minor"/>
      </font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minor"/>
      </font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minor"/>
      </font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minor"/>
      </font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9" formatCode="dd/mm/yyyy"/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right style="thin">
          <color theme="6" tint="0.39997558519241921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Franklin Gothic Book"/>
        <family val="2"/>
        <scheme val="minor"/>
      </font>
      <numFmt numFmtId="19" formatCode="dd/mm/yyyy"/>
      <fill>
        <patternFill patternType="solid">
          <fgColor theme="6"/>
          <bgColor theme="6"/>
        </patternFill>
      </fill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  <fill>
        <patternFill patternType="none">
          <bgColor auto="1"/>
        </patternFill>
      </fill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  <fill>
        <patternFill patternType="none">
          <bgColor auto="1"/>
        </patternFill>
      </fill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  <fill>
        <patternFill patternType="none">
          <bgColor auto="1"/>
        </patternFill>
      </fill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  <fill>
        <patternFill patternType="none">
          <bgColor auto="1"/>
        </patternFill>
      </fill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  <fill>
        <patternFill patternType="none">
          <bgColor auto="1"/>
        </patternFill>
      </fill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  <fill>
        <patternFill patternType="none">
          <bgColor auto="1"/>
        </patternFill>
      </fill>
    </dxf>
    <dxf>
      <numFmt numFmtId="164" formatCode="_-&quot;$&quot;* #,##0_-;\-&quot;$&quot;* #,##0_-;_-&quot;$&quot;* &quot;-&quot;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minor"/>
      </font>
      <fill>
        <patternFill patternType="none">
          <fgColor theme="6" tint="0.79998168889431442"/>
          <bgColor auto="1"/>
        </patternFill>
      </fill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minor"/>
      </font>
      <fill>
        <patternFill patternType="none">
          <fgColor theme="6" tint="0.79998168889431442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minor"/>
      </font>
      <fill>
        <patternFill patternType="none">
          <fgColor theme="6" tint="0.79998168889431442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bgColor auto="1"/>
        </patternFill>
      </fill>
    </dxf>
    <dxf>
      <numFmt numFmtId="19" formatCode="dd/mm/yyyy"/>
      <fill>
        <patternFill patternType="none">
          <bgColor auto="1"/>
        </patternFill>
      </fill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/>
    </dxf>
    <dxf>
      <alignment horizontal="left"/>
    </dxf>
    <dxf>
      <alignment horizontal="left"/>
    </dxf>
    <dxf>
      <alignment horizontal="general"/>
    </dxf>
    <dxf>
      <alignment horizontal="general"/>
    </dxf>
    <dxf>
      <fill>
        <patternFill>
          <bgColor theme="0" tint="-4.9989318521683403E-2"/>
        </patternFill>
      </fill>
    </dxf>
    <dxf>
      <font>
        <b/>
        <i val="0"/>
        <strike val="0"/>
        <color theme="0"/>
      </font>
      <fill>
        <patternFill>
          <bgColor theme="3"/>
        </pattern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5" tint="0.59996337778862885"/>
        </vertical>
        <horizontal style="thin">
          <color theme="3"/>
        </horizontal>
      </border>
    </dxf>
    <dxf>
      <border>
        <left style="thin">
          <color theme="3"/>
        </left>
        <right style="thin">
          <color theme="3"/>
        </right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Business Table" pivot="0" count="3" xr9:uid="{00000000-0011-0000-FFFF-FFFF00000000}">
      <tableStyleElement type="wholeTable" dxfId="120"/>
      <tableStyleElement type="headerRow" dxfId="119"/>
      <tableStyleElement type="secondRowStripe" dxfId="118"/>
    </tableStyle>
  </tableStyles>
  <colors>
    <mruColors>
      <color rgb="FF00CC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4675.61071400463" createdVersion="7" refreshedVersion="7" minRefreshableVersion="3" recordCount="107" xr:uid="{13F69141-785F-4922-9246-E364AE57F389}">
  <cacheSource type="worksheet">
    <worksheetSource name="Tabla2"/>
  </cacheSource>
  <cacheFields count="4">
    <cacheField name="Marca" numFmtId="0">
      <sharedItems containsBlank="1"/>
    </cacheField>
    <cacheField name="Tipo" numFmtId="0">
      <sharedItems containsBlank="1" count="4">
        <s v="CUBE"/>
        <s v="Cristal"/>
        <s v="MAX"/>
        <m/>
      </sharedItems>
    </cacheField>
    <cacheField name="Sabor " numFmtId="0">
      <sharedItems containsBlank="1" count="33">
        <s v="Energy ICE"/>
        <s v="Mango ICE"/>
        <s v="Cola ICE"/>
        <s v="Grape soda"/>
        <s v="Strawberry Lychee"/>
        <s v="Lemonade"/>
        <s v="Banana Ice"/>
        <s v="Peach Candy"/>
        <s v="Watermelon"/>
        <s v="Double apple"/>
        <s v="ICE Water"/>
        <s v="Pineaple ICE"/>
        <s v="Grapestraw"/>
        <s v="Berry Watermelon"/>
        <s v="Guava"/>
        <s v="Cool mint"/>
        <s v="Bluerazz"/>
        <s v="Sour Apple"/>
        <s v="Coconut"/>
        <s v="GrapeFruit berry"/>
        <s v="Lush Ice"/>
        <s v="Cocumber Lemonade"/>
        <s v="Lemon cookies"/>
        <m/>
        <s v="Sabor 1" u="1"/>
        <s v="Sabor 2" u="1"/>
        <s v="Sabor 3" u="1"/>
        <s v="Sabor 4" u="1"/>
        <s v="Sabor 5" u="1"/>
        <s v="Gueva" u="1"/>
        <s v="Sabor 6" u="1"/>
        <s v="Sabor 7" u="1"/>
        <s v="Sabor 8" u="1"/>
      </sharedItems>
    </cacheField>
    <cacheField name="Cantidad" numFmtId="0">
      <sharedItems containsString="0" containsBlank="1" containsNumber="1" containsInteger="1" minValue="1" maxValue="1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7">
  <r>
    <s v="IPLAY"/>
    <x v="0"/>
    <x v="0"/>
    <n v="1"/>
  </r>
  <r>
    <s v="IPLAY"/>
    <x v="0"/>
    <x v="1"/>
    <n v="2"/>
  </r>
  <r>
    <s v="IPLAY"/>
    <x v="0"/>
    <x v="2"/>
    <n v="2"/>
  </r>
  <r>
    <s v="IPLAY"/>
    <x v="0"/>
    <x v="3"/>
    <n v="2"/>
  </r>
  <r>
    <s v="IPLAY"/>
    <x v="0"/>
    <x v="4"/>
    <n v="2"/>
  </r>
  <r>
    <s v="IPLAY"/>
    <x v="0"/>
    <x v="5"/>
    <n v="2"/>
  </r>
  <r>
    <s v="IPLAY"/>
    <x v="0"/>
    <x v="0"/>
    <n v="5"/>
  </r>
  <r>
    <s v="IPLAY"/>
    <x v="0"/>
    <x v="1"/>
    <n v="3"/>
  </r>
  <r>
    <s v="IPLAY"/>
    <x v="0"/>
    <x v="2"/>
    <n v="3"/>
  </r>
  <r>
    <s v="IPLAY"/>
    <x v="0"/>
    <x v="3"/>
    <n v="3"/>
  </r>
  <r>
    <s v="IPLAY"/>
    <x v="0"/>
    <x v="4"/>
    <n v="3"/>
  </r>
  <r>
    <s v="IPLAY"/>
    <x v="0"/>
    <x v="6"/>
    <n v="2"/>
  </r>
  <r>
    <s v="IPLAY"/>
    <x v="0"/>
    <x v="7"/>
    <n v="2"/>
  </r>
  <r>
    <s v="IPLAY"/>
    <x v="0"/>
    <x v="8"/>
    <n v="1"/>
  </r>
  <r>
    <s v="IPLAY"/>
    <x v="0"/>
    <x v="9"/>
    <n v="1"/>
  </r>
  <r>
    <s v="IPLAY"/>
    <x v="0"/>
    <x v="5"/>
    <n v="2"/>
  </r>
  <r>
    <s v="IPLAY"/>
    <x v="0"/>
    <x v="0"/>
    <n v="3"/>
  </r>
  <r>
    <s v="IPLAY"/>
    <x v="0"/>
    <x v="1"/>
    <n v="2"/>
  </r>
  <r>
    <s v="IPLAY"/>
    <x v="0"/>
    <x v="2"/>
    <n v="2"/>
  </r>
  <r>
    <s v="IPLAY"/>
    <x v="0"/>
    <x v="3"/>
    <n v="5"/>
  </r>
  <r>
    <s v="IPLAY"/>
    <x v="0"/>
    <x v="4"/>
    <n v="2"/>
  </r>
  <r>
    <s v="IPLAY"/>
    <x v="0"/>
    <x v="6"/>
    <n v="2"/>
  </r>
  <r>
    <s v="IPLAY"/>
    <x v="0"/>
    <x v="7"/>
    <n v="2"/>
  </r>
  <r>
    <s v="IPLAY"/>
    <x v="0"/>
    <x v="10"/>
    <n v="1"/>
  </r>
  <r>
    <s v="IPLAY"/>
    <x v="0"/>
    <x v="9"/>
    <n v="4"/>
  </r>
  <r>
    <s v="IPLAY"/>
    <x v="0"/>
    <x v="5"/>
    <n v="2"/>
  </r>
  <r>
    <s v="ELF BAR"/>
    <x v="1"/>
    <x v="6"/>
    <n v="2"/>
  </r>
  <r>
    <s v="ELF BAR"/>
    <x v="1"/>
    <x v="11"/>
    <n v="2"/>
  </r>
  <r>
    <s v="ELF BAR"/>
    <x v="1"/>
    <x v="1"/>
    <n v="2"/>
  </r>
  <r>
    <s v="IPLAY"/>
    <x v="2"/>
    <x v="4"/>
    <n v="2"/>
  </r>
  <r>
    <s v="IPLAY"/>
    <x v="2"/>
    <x v="12"/>
    <n v="2"/>
  </r>
  <r>
    <s v="IPLAY"/>
    <x v="2"/>
    <x v="13"/>
    <n v="2"/>
  </r>
  <r>
    <s v="IPLAY"/>
    <x v="2"/>
    <x v="14"/>
    <n v="2"/>
  </r>
  <r>
    <s v="IPLAY"/>
    <x v="2"/>
    <x v="15"/>
    <n v="2"/>
  </r>
  <r>
    <s v="IPLAY"/>
    <x v="2"/>
    <x v="16"/>
    <n v="2"/>
  </r>
  <r>
    <s v="IPLAY"/>
    <x v="2"/>
    <x v="17"/>
    <n v="2"/>
  </r>
  <r>
    <s v="IPLAY"/>
    <x v="2"/>
    <x v="18"/>
    <n v="2"/>
  </r>
  <r>
    <s v="IPLAY"/>
    <x v="2"/>
    <x v="12"/>
    <n v="4"/>
  </r>
  <r>
    <s v="IPLAY"/>
    <x v="2"/>
    <x v="14"/>
    <n v="4"/>
  </r>
  <r>
    <s v="IPLAY"/>
    <x v="2"/>
    <x v="17"/>
    <n v="1"/>
  </r>
  <r>
    <s v="IPLAY"/>
    <x v="2"/>
    <x v="18"/>
    <n v="4"/>
  </r>
  <r>
    <s v="IPLAY"/>
    <x v="2"/>
    <x v="15"/>
    <n v="2"/>
  </r>
  <r>
    <s v="IPLAY"/>
    <x v="2"/>
    <x v="13"/>
    <n v="2"/>
  </r>
  <r>
    <s v="IPLAY"/>
    <x v="2"/>
    <x v="16"/>
    <n v="3"/>
  </r>
  <r>
    <s v="IPLAY"/>
    <x v="2"/>
    <x v="0"/>
    <n v="1"/>
  </r>
  <r>
    <s v="IPLAY"/>
    <x v="2"/>
    <x v="4"/>
    <n v="3"/>
  </r>
  <r>
    <s v="IPLAY"/>
    <x v="2"/>
    <x v="19"/>
    <n v="1"/>
  </r>
  <r>
    <s v="IPLAY"/>
    <x v="0"/>
    <x v="1"/>
    <n v="2"/>
  </r>
  <r>
    <s v="IPLAY"/>
    <x v="0"/>
    <x v="5"/>
    <n v="3"/>
  </r>
  <r>
    <s v="IPLAY"/>
    <x v="0"/>
    <x v="6"/>
    <n v="2"/>
  </r>
  <r>
    <s v="IPLAY"/>
    <x v="0"/>
    <x v="9"/>
    <n v="3"/>
  </r>
  <r>
    <s v="IPLAY"/>
    <x v="0"/>
    <x v="0"/>
    <n v="3"/>
  </r>
  <r>
    <s v="IPLAY"/>
    <x v="0"/>
    <x v="10"/>
    <n v="3"/>
  </r>
  <r>
    <s v="IPLAY"/>
    <x v="0"/>
    <x v="3"/>
    <n v="4"/>
  </r>
  <r>
    <s v="IPLAY"/>
    <x v="0"/>
    <x v="7"/>
    <n v="2"/>
  </r>
  <r>
    <s v="IPLAY"/>
    <x v="0"/>
    <x v="2"/>
    <n v="2"/>
  </r>
  <r>
    <s v="IPLAY"/>
    <x v="0"/>
    <x v="4"/>
    <n v="2"/>
  </r>
  <r>
    <s v="IPLAY"/>
    <x v="2"/>
    <x v="13"/>
    <n v="4"/>
  </r>
  <r>
    <s v="IPLAY"/>
    <x v="2"/>
    <x v="15"/>
    <n v="2"/>
  </r>
  <r>
    <s v="IPLAY"/>
    <x v="2"/>
    <x v="14"/>
    <n v="1"/>
  </r>
  <r>
    <s v="IPLAY"/>
    <x v="2"/>
    <x v="12"/>
    <n v="3"/>
  </r>
  <r>
    <s v="IPLAY"/>
    <x v="2"/>
    <x v="0"/>
    <n v="3"/>
  </r>
  <r>
    <s v="IPLAY"/>
    <x v="2"/>
    <x v="16"/>
    <n v="4"/>
  </r>
  <r>
    <s v="IPLAY"/>
    <x v="2"/>
    <x v="19"/>
    <n v="3"/>
  </r>
  <r>
    <s v="IPLAY"/>
    <x v="2"/>
    <x v="4"/>
    <n v="4"/>
  </r>
  <r>
    <s v="IPLAY"/>
    <x v="2"/>
    <x v="18"/>
    <n v="1"/>
  </r>
  <r>
    <s v="IPLAY"/>
    <x v="2"/>
    <x v="15"/>
    <n v="4"/>
  </r>
  <r>
    <s v="IPLAY"/>
    <x v="2"/>
    <x v="13"/>
    <n v="4"/>
  </r>
  <r>
    <s v="IPLAY"/>
    <x v="2"/>
    <x v="12"/>
    <n v="5"/>
  </r>
  <r>
    <s v="IPLAY"/>
    <x v="2"/>
    <x v="16"/>
    <n v="4"/>
  </r>
  <r>
    <s v="IPLAY"/>
    <x v="2"/>
    <x v="18"/>
    <n v="5"/>
  </r>
  <r>
    <s v="IPLAY"/>
    <x v="2"/>
    <x v="14"/>
    <n v="4"/>
  </r>
  <r>
    <s v="IPLAY"/>
    <x v="2"/>
    <x v="20"/>
    <n v="4"/>
  </r>
  <r>
    <s v="IPLAY"/>
    <x v="2"/>
    <x v="4"/>
    <n v="4"/>
  </r>
  <r>
    <s v="IPLAY"/>
    <x v="2"/>
    <x v="0"/>
    <n v="4"/>
  </r>
  <r>
    <s v="IPLAY"/>
    <x v="2"/>
    <x v="19"/>
    <n v="4"/>
  </r>
  <r>
    <s v="IPLAY"/>
    <x v="2"/>
    <x v="21"/>
    <n v="4"/>
  </r>
  <r>
    <s v="IPLAY"/>
    <x v="2"/>
    <x v="17"/>
    <n v="4"/>
  </r>
  <r>
    <s v="IPLAY"/>
    <x v="2"/>
    <x v="12"/>
    <n v="7"/>
  </r>
  <r>
    <s v="IPLAY"/>
    <x v="2"/>
    <x v="14"/>
    <n v="4"/>
  </r>
  <r>
    <s v="IPLAY"/>
    <x v="2"/>
    <x v="15"/>
    <n v="2"/>
  </r>
  <r>
    <s v="IPLAY"/>
    <x v="2"/>
    <x v="16"/>
    <n v="4"/>
  </r>
  <r>
    <s v="IPLAY"/>
    <x v="2"/>
    <x v="4"/>
    <n v="2"/>
  </r>
  <r>
    <s v="IPLAY"/>
    <x v="2"/>
    <x v="18"/>
    <n v="1"/>
  </r>
  <r>
    <s v="IPLAY"/>
    <x v="2"/>
    <x v="20"/>
    <n v="1"/>
  </r>
  <r>
    <s v="IPLAY"/>
    <x v="2"/>
    <x v="13"/>
    <n v="2"/>
  </r>
  <r>
    <s v="IPLAY"/>
    <x v="2"/>
    <x v="0"/>
    <n v="8"/>
  </r>
  <r>
    <s v="IPLAY"/>
    <x v="2"/>
    <x v="17"/>
    <n v="7"/>
  </r>
  <r>
    <s v="IPLAY"/>
    <x v="2"/>
    <x v="13"/>
    <n v="9"/>
  </r>
  <r>
    <s v="IPLAY"/>
    <x v="2"/>
    <x v="15"/>
    <n v="7"/>
  </r>
  <r>
    <s v="IPLAY"/>
    <x v="2"/>
    <x v="19"/>
    <n v="9"/>
  </r>
  <r>
    <s v="IPLAY"/>
    <x v="2"/>
    <x v="4"/>
    <n v="2"/>
  </r>
  <r>
    <s v="IPLAY"/>
    <x v="2"/>
    <x v="16"/>
    <n v="3"/>
  </r>
  <r>
    <s v="IPLAY"/>
    <x v="2"/>
    <x v="20"/>
    <n v="5"/>
  </r>
  <r>
    <s v="IPLAY"/>
    <x v="2"/>
    <x v="0"/>
    <n v="3"/>
  </r>
  <r>
    <s v="IPLAY"/>
    <x v="2"/>
    <x v="17"/>
    <n v="3"/>
  </r>
  <r>
    <s v="IPLAY"/>
    <x v="2"/>
    <x v="4"/>
    <n v="15"/>
  </r>
  <r>
    <s v="IPLAY"/>
    <x v="2"/>
    <x v="13"/>
    <n v="15"/>
  </r>
  <r>
    <s v="IPLAY"/>
    <x v="2"/>
    <x v="14"/>
    <n v="4"/>
  </r>
  <r>
    <s v="IPLAY"/>
    <x v="2"/>
    <x v="16"/>
    <n v="15"/>
  </r>
  <r>
    <s v="IPLAY"/>
    <x v="2"/>
    <x v="19"/>
    <n v="15"/>
  </r>
  <r>
    <s v="IPLAY"/>
    <x v="2"/>
    <x v="12"/>
    <n v="15"/>
  </r>
  <r>
    <s v="IPLAY"/>
    <x v="2"/>
    <x v="15"/>
    <n v="5"/>
  </r>
  <r>
    <s v="IPLAY"/>
    <x v="2"/>
    <x v="18"/>
    <n v="5"/>
  </r>
  <r>
    <s v="IPLAY"/>
    <x v="2"/>
    <x v="22"/>
    <n v="5"/>
  </r>
  <r>
    <m/>
    <x v="3"/>
    <x v="23"/>
    <m/>
  </r>
  <r>
    <m/>
    <x v="3"/>
    <x v="23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0F9AE4E-3C82-491D-AAB3-3CFF08037BCD}" name="TablaDinámica1" cacheId="783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A3:B36" firstHeaderRow="1" firstDataRow="1" firstDataCol="1"/>
  <pivotFields count="4">
    <pivotField showAll="0"/>
    <pivotField axis="axisRow" showAll="0">
      <items count="5">
        <item x="1"/>
        <item x="0"/>
        <item x="2"/>
        <item x="3"/>
        <item t="default"/>
      </items>
    </pivotField>
    <pivotField axis="axisRow" showAll="0">
      <items count="34">
        <item x="6"/>
        <item x="2"/>
        <item x="9"/>
        <item x="0"/>
        <item x="3"/>
        <item x="10"/>
        <item x="5"/>
        <item x="1"/>
        <item x="7"/>
        <item x="11"/>
        <item m="1" x="24"/>
        <item m="1" x="25"/>
        <item m="1" x="26"/>
        <item m="1" x="27"/>
        <item m="1" x="28"/>
        <item m="1" x="30"/>
        <item m="1" x="31"/>
        <item m="1" x="32"/>
        <item x="4"/>
        <item x="8"/>
        <item x="12"/>
        <item x="13"/>
        <item m="1" x="29"/>
        <item x="15"/>
        <item x="16"/>
        <item x="17"/>
        <item x="18"/>
        <item x="14"/>
        <item x="23"/>
        <item x="19"/>
        <item x="20"/>
        <item x="21"/>
        <item x="22"/>
        <item t="default"/>
      </items>
    </pivotField>
    <pivotField dataField="1" showAll="0"/>
  </pivotFields>
  <rowFields count="2">
    <field x="1"/>
    <field x="2"/>
  </rowFields>
  <rowItems count="33">
    <i>
      <x/>
    </i>
    <i r="1">
      <x/>
    </i>
    <i r="1">
      <x v="7"/>
    </i>
    <i r="1">
      <x v="9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18"/>
    </i>
    <i r="1">
      <x v="19"/>
    </i>
    <i>
      <x v="2"/>
    </i>
    <i r="1">
      <x v="3"/>
    </i>
    <i r="1">
      <x v="18"/>
    </i>
    <i r="1">
      <x v="20"/>
    </i>
    <i r="1">
      <x v="21"/>
    </i>
    <i r="1">
      <x v="23"/>
    </i>
    <i r="1">
      <x v="24"/>
    </i>
    <i r="1">
      <x v="25"/>
    </i>
    <i r="1">
      <x v="26"/>
    </i>
    <i r="1">
      <x v="27"/>
    </i>
    <i r="1">
      <x v="29"/>
    </i>
    <i r="1">
      <x v="30"/>
    </i>
    <i r="1">
      <x v="31"/>
    </i>
    <i r="1">
      <x v="32"/>
    </i>
    <i>
      <x v="3"/>
    </i>
    <i r="1">
      <x v="28"/>
    </i>
    <i t="grand">
      <x/>
    </i>
  </rowItems>
  <colItems count="1">
    <i/>
  </colItems>
  <dataFields count="1">
    <dataField name="Suma de Cantidad" fld="3" baseField="0" baseItem="0"/>
  </dataFields>
  <formats count="23">
    <format dxfId="95">
      <pivotArea type="all" dataOnly="0" outline="0" fieldPosition="0"/>
    </format>
    <format dxfId="96">
      <pivotArea outline="0" collapsedLevelsAreSubtotals="1" fieldPosition="0"/>
    </format>
    <format dxfId="97">
      <pivotArea field="1" type="button" dataOnly="0" labelOnly="1" outline="0" axis="axisRow" fieldPosition="0"/>
    </format>
    <format dxfId="98">
      <pivotArea dataOnly="0" labelOnly="1" fieldPosition="0">
        <references count="1">
          <reference field="1" count="0"/>
        </references>
      </pivotArea>
    </format>
    <format dxfId="99">
      <pivotArea dataOnly="0" labelOnly="1" grandRow="1" outline="0" fieldPosition="0"/>
    </format>
    <format dxfId="100">
      <pivotArea dataOnly="0" labelOnly="1" fieldPosition="0">
        <references count="2">
          <reference field="1" count="1" selected="0">
            <x v="0"/>
          </reference>
          <reference field="2" count="3">
            <x v="0"/>
            <x v="7"/>
            <x v="9"/>
          </reference>
        </references>
      </pivotArea>
    </format>
    <format dxfId="101">
      <pivotArea dataOnly="0" labelOnly="1" fieldPosition="0">
        <references count="2">
          <reference field="1" count="1" selected="0">
            <x v="1"/>
          </reference>
          <reference field="2" count="11">
            <x v="0"/>
            <x v="1"/>
            <x v="2"/>
            <x v="3"/>
            <x v="4"/>
            <x v="5"/>
            <x v="6"/>
            <x v="7"/>
            <x v="8"/>
            <x v="18"/>
            <x v="19"/>
          </reference>
        </references>
      </pivotArea>
    </format>
    <format dxfId="102">
      <pivotArea dataOnly="0" labelOnly="1" fieldPosition="0">
        <references count="2">
          <reference field="1" count="1" selected="0">
            <x v="2"/>
          </reference>
          <reference field="2" count="8">
            <x v="18"/>
            <x v="20"/>
            <x v="21"/>
            <x v="22"/>
            <x v="23"/>
            <x v="24"/>
            <x v="25"/>
            <x v="26"/>
          </reference>
        </references>
      </pivotArea>
    </format>
    <format dxfId="103">
      <pivotArea dataOnly="0" labelOnly="1" outline="0" axis="axisValues" fieldPosition="0"/>
    </format>
    <format dxfId="104">
      <pivotArea type="all" dataOnly="0" outline="0" fieldPosition="0"/>
    </format>
    <format dxfId="105">
      <pivotArea outline="0" collapsedLevelsAreSubtotals="1" fieldPosition="0"/>
    </format>
    <format dxfId="106">
      <pivotArea field="1" type="button" dataOnly="0" labelOnly="1" outline="0" axis="axisRow" fieldPosition="0"/>
    </format>
    <format dxfId="107">
      <pivotArea dataOnly="0" labelOnly="1" fieldPosition="0">
        <references count="1">
          <reference field="1" count="0"/>
        </references>
      </pivotArea>
    </format>
    <format dxfId="108">
      <pivotArea dataOnly="0" labelOnly="1" grandRow="1" outline="0" fieldPosition="0"/>
    </format>
    <format dxfId="109">
      <pivotArea dataOnly="0" labelOnly="1" fieldPosition="0">
        <references count="2">
          <reference field="1" count="1" selected="0">
            <x v="0"/>
          </reference>
          <reference field="2" count="3">
            <x v="0"/>
            <x v="7"/>
            <x v="9"/>
          </reference>
        </references>
      </pivotArea>
    </format>
    <format dxfId="110">
      <pivotArea dataOnly="0" labelOnly="1" fieldPosition="0">
        <references count="2">
          <reference field="1" count="1" selected="0">
            <x v="1"/>
          </reference>
          <reference field="2" count="11">
            <x v="0"/>
            <x v="1"/>
            <x v="2"/>
            <x v="3"/>
            <x v="4"/>
            <x v="5"/>
            <x v="6"/>
            <x v="7"/>
            <x v="8"/>
            <x v="18"/>
            <x v="19"/>
          </reference>
        </references>
      </pivotArea>
    </format>
    <format dxfId="111">
      <pivotArea dataOnly="0" labelOnly="1" fieldPosition="0">
        <references count="2">
          <reference field="1" count="1" selected="0">
            <x v="2"/>
          </reference>
          <reference field="2" count="8">
            <x v="18"/>
            <x v="20"/>
            <x v="21"/>
            <x v="22"/>
            <x v="23"/>
            <x v="24"/>
            <x v="25"/>
            <x v="26"/>
          </reference>
        </references>
      </pivotArea>
    </format>
    <format dxfId="112">
      <pivotArea dataOnly="0" labelOnly="1" outline="0" axis="axisValues" fieldPosition="0"/>
    </format>
    <format dxfId="113">
      <pivotArea field="1" type="button" dataOnly="0" labelOnly="1" outline="0" axis="axisRow" fieldPosition="0"/>
    </format>
    <format dxfId="114">
      <pivotArea dataOnly="0" labelOnly="1" fieldPosition="0">
        <references count="1">
          <reference field="1" count="0"/>
        </references>
      </pivotArea>
    </format>
    <format dxfId="115">
      <pivotArea dataOnly="0" labelOnly="1" grandRow="1" outline="0" fieldPosition="0"/>
    </format>
    <format dxfId="116">
      <pivotArea dataOnly="0" labelOnly="1" fieldPosition="0">
        <references count="1">
          <reference field="1" count="1">
            <x v="2"/>
          </reference>
        </references>
      </pivotArea>
    </format>
    <format dxfId="117">
      <pivotArea dataOnly="0" labelOnly="1" fieldPosition="0">
        <references count="1">
          <reference field="2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4B2974D-21E6-413D-85F8-EBA38CAFEE12}" name="Tabla6" displayName="Tabla6" ref="A6:AC35" totalsRowCount="1" headerRowDxfId="94" dataDxfId="93">
  <autoFilter ref="A6:AC34" xr:uid="{D4B2974D-21E6-413D-85F8-EBA38CAFEE12}"/>
  <tableColumns count="29">
    <tableColumn id="1" xr3:uid="{5DD8A68D-C422-43B4-8A85-D420543A8CE5}" name="Marca" dataDxfId="91" totalsRowDxfId="92"/>
    <tableColumn id="2" xr3:uid="{D3D3C7A6-AEA7-4030-83A1-E7FF532A368D}" name="Tipo " dataDxfId="89" totalsRowDxfId="90"/>
    <tableColumn id="3" xr3:uid="{657A27D2-228F-40FC-9DC8-9082A7103823}" name="Sabor " dataDxfId="87" totalsRowDxfId="88"/>
    <tableColumn id="4" xr3:uid="{3E756421-F75F-42A3-8930-D2ED2D65680D}" name="Ventas anteriores" totalsRowFunction="sum" dataDxfId="86"/>
    <tableColumn id="5" xr3:uid="{B7F612C5-3435-48B6-848B-9384542BB7BC}" name="28/03/2022" totalsRowFunction="sum" dataDxfId="85"/>
    <tableColumn id="6" xr3:uid="{2DA900D8-E5E0-44B6-BB18-5FD84AC96B33}" name="29/03/2022" totalsRowFunction="sum" dataDxfId="84"/>
    <tableColumn id="7" xr3:uid="{7C2461AB-7001-4D80-9C6E-ED6870073302}" name="30/03/2022" totalsRowFunction="sum" dataDxfId="83"/>
    <tableColumn id="8" xr3:uid="{692A2927-5B65-42F0-A7FC-0132F94E0A05}" name="31/03/2022" totalsRowFunction="sum" dataDxfId="82"/>
    <tableColumn id="28" xr3:uid="{0499BF0A-0DB7-4FD7-952E-99315E0FF5BE}" name="01/04/2022" totalsRowFunction="sum" dataDxfId="81"/>
    <tableColumn id="27" xr3:uid="{21355A03-7091-4751-9D5F-3B640ABFD715}" name="02/04/2022" totalsRowFunction="sum" dataDxfId="80"/>
    <tableColumn id="26" xr3:uid="{83B25293-E4C4-4D33-9869-CB13D0889226}" name="03/04/2022" totalsRowFunction="sum" dataDxfId="79"/>
    <tableColumn id="25" xr3:uid="{60CE404F-F3C4-478E-A9DB-C7EEBECE4EFA}" name="04/04/2022" totalsRowFunction="sum" dataDxfId="78"/>
    <tableColumn id="29" xr3:uid="{315F92A4-C07B-4FDA-ADB8-2E064B6A35F2}" name="06/04/20228" dataDxfId="77"/>
    <tableColumn id="24" xr3:uid="{CD2E3CC1-621D-4FA0-B508-C54FBAE09754}" name="07/04/20227" dataDxfId="76"/>
    <tableColumn id="23" xr3:uid="{2B9BFA7B-34F4-4563-A5FB-30CDBA453B35}" name="08/04/20226" dataDxfId="75"/>
    <tableColumn id="22" xr3:uid="{983543B6-A8C4-4E03-8687-09BE56B4351B}" name="09/04/20225" dataDxfId="74"/>
    <tableColumn id="21" xr3:uid="{ABE06358-117D-4445-96BB-5EBE20973A0C}" name="10/04/20224" dataDxfId="73"/>
    <tableColumn id="20" xr3:uid="{62E3E9DA-836C-4DF0-A7FC-B20B8C614C43}" name="11/04/20223" dataDxfId="72"/>
    <tableColumn id="19" xr3:uid="{EE174E67-DEDA-46A7-A060-448F94D2C424}" name="12/04/20222" dataDxfId="71"/>
    <tableColumn id="18" xr3:uid="{C9775225-6308-4DD6-86F8-3F8AD24DABFF}" name="13/04/2023" totalsRowFunction="sum" dataDxfId="70"/>
    <tableColumn id="15" xr3:uid="{807E64A6-F09B-4D45-9933-FF9334B79FBF}" name="Total de uni/vendi" totalsRowFunction="sum" dataDxfId="69">
      <calculatedColumnFormula>SUM(Tabla6[[#This Row],[Ventas anteriores]:[04/04/2022]])</calculatedColumnFormula>
    </tableColumn>
    <tableColumn id="9" xr3:uid="{B0BC7FE7-C768-4314-B614-DD5BB6CEC49D}" name="Promocion" totalsRowFunction="sum" dataDxfId="68"/>
    <tableColumn id="10" xr3:uid="{A2F645C5-4C83-4D50-87E1-D3AC5890FA03}" name="Descuento" totalsRowFunction="sum" dataDxfId="67">
      <calculatedColumnFormula>IF(ISBLANK(V7),0,V7*25)</calculatedColumnFormula>
    </tableColumn>
    <tableColumn id="11" xr3:uid="{3659B923-28DC-4556-AE93-1508A7B5B246}" name="Costo unitario" dataDxfId="65" totalsRowDxfId="66" dataCellStyle="Moneda">
      <calculatedColumnFormula>VLOOKUP(Tabla6[[#This Row],[Tipo ]],$A$3:$D$5,3,0)</calculatedColumnFormula>
    </tableColumn>
    <tableColumn id="12" xr3:uid="{2F43865B-A66A-4B82-B910-6FEC60A57451}" name="Precio de venta " dataDxfId="63" totalsRowDxfId="64" dataCellStyle="Moneda">
      <calculatedColumnFormula>VLOOKUP(Tabla6[[#This Row],[Tipo ]],$A$3:$D$5,4,0)</calculatedColumnFormula>
    </tableColumn>
    <tableColumn id="13" xr3:uid="{0F26C1C3-87D1-4597-980B-8B044B37C1B4}" name="Costo" totalsRowFunction="sum" dataDxfId="61" totalsRowDxfId="62" dataCellStyle="Moneda">
      <calculatedColumnFormula>Tabla6[[#This Row],[Costo unitario]]*Tabla6[[#This Row],[Total de uni/vendi]]</calculatedColumnFormula>
    </tableColumn>
    <tableColumn id="14" xr3:uid="{3FB3F8CE-7E3B-49EA-A3AC-CB6F9CA78225}" name="Ventas totales" totalsRowFunction="sum" dataDxfId="59" totalsRowDxfId="60" dataCellStyle="Moneda">
      <calculatedColumnFormula>Tabla6[[#This Row],[Precio de venta ]]*Tabla6[[#This Row],[Total de uni/vendi]]</calculatedColumnFormula>
    </tableColumn>
    <tableColumn id="16" xr3:uid="{0740D976-3EDE-4A89-810E-E9839C226485}" name="Utilidad" totalsRowFunction="sum" dataDxfId="57" totalsRowDxfId="58" dataCellStyle="Moneda">
      <calculatedColumnFormula>Tabla6[[#This Row],[Ventas totales]]-Tabla6[[#This Row],[Costo]]</calculatedColumnFormula>
    </tableColumn>
    <tableColumn id="17" xr3:uid="{E2871FED-D9DA-425D-83ED-7CD704D4A627}" name="Utilidad Neta" totalsRowFunction="custom" dataDxfId="55" totalsRowDxfId="56" dataCellStyle="Moneda">
      <calculatedColumnFormula>Tabla6[[#This Row],[Utilidad]]-Tabla6[[#This Row],[Descuento]]</calculatedColumnFormula>
      <totalsRowFormula>SUM(Tabla6[Utilidad Neta])</totalsRowFormula>
    </tableColumn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7F9EEE19-4186-460F-A622-E5CE7E73506C}" name="Tabla11" displayName="Tabla11" ref="R6:T11" totalsRowShown="0">
  <autoFilter ref="R6:T11" xr:uid="{7F9EEE19-4186-460F-A622-E5CE7E73506C}"/>
  <tableColumns count="3">
    <tableColumn id="1" xr3:uid="{693C0E6E-0BE3-4150-A23D-0CDBD21902AA}" name="Tabla de descuento "/>
    <tableColumn id="2" xr3:uid="{49DE23C4-2603-43A7-AF42-FEB3C920BEF3}" name="Rango"/>
    <tableColumn id="3" xr3:uid="{7E0506F9-6814-48C6-B851-D452A576A313}" name="Precio venta " dataDxfId="54" dataCellStyle="Moneda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21D188BC-8137-42D2-8BC6-C037755712F1}" name="Tabla12" displayName="Tabla12" ref="A6:P19" totalsRowShown="0" headerRowDxfId="53" tableBorderDxfId="52">
  <autoFilter ref="A6:P19" xr:uid="{21D188BC-8137-42D2-8BC6-C037755712F1}"/>
  <tableColumns count="16">
    <tableColumn id="1" xr3:uid="{ABD6485D-15B6-4824-91CA-B22DD3A71C65}" name="Fecha"/>
    <tableColumn id="2" xr3:uid="{59640287-4F7D-48EF-AD61-37A5F8D8C3D4}" name="Marca"/>
    <tableColumn id="3" xr3:uid="{6D458358-94F8-4F49-95DC-3872ED9410A3}" name="Tipo "/>
    <tableColumn id="4" xr3:uid="{64A3AE4A-4126-40D3-89DC-5AD2D886951E}" name="Sabor "/>
    <tableColumn id="5" xr3:uid="{4FDD0F72-F253-438E-9C89-A5342B0F96A1}" name="Cantidad"/>
    <tableColumn id="6" xr3:uid="{0C72F3CC-612F-473D-8237-EB489D0BF091}" name="28/03/2022"/>
    <tableColumn id="7" xr3:uid="{726F5CFD-A5BB-420D-BE27-15EA9477FCEA}" name="29/03/2022"/>
    <tableColumn id="8" xr3:uid="{BE1052D9-8D1B-478F-B948-22A730DD3AF9}" name="30/03/2022"/>
    <tableColumn id="9" xr3:uid="{5A840234-D852-453F-90FD-32D1FE9B949A}" name="31/03/2022"/>
    <tableColumn id="10" xr3:uid="{A1A271EB-E23A-452B-A5A3-DEFD7DCADF43}" name="01/04/2022"/>
    <tableColumn id="11" xr3:uid="{1E1C78BB-81C5-40A3-A4BE-F7DA9781A50B}" name="02/04/2022"/>
    <tableColumn id="12" xr3:uid="{EB185A8A-ADF1-4A83-A94E-140A98E0BCCC}" name="03/04/2022"/>
    <tableColumn id="13" xr3:uid="{7E102C43-3E33-45E5-BC81-BBBDD9E14DCF}" name="04/04/2022"/>
    <tableColumn id="14" xr3:uid="{916E0A0F-CE06-4FB2-8C65-5B597E56482E}" name="Promocion"/>
    <tableColumn id="16" xr3:uid="{97FFFD88-39FF-4FED-AF8C-6AF58EDDFADF}" name="Precio de venta "/>
    <tableColumn id="18" xr3:uid="{2044FE0E-D1AE-4286-B0A1-05A74044EAB6}" name="Ventas totales"/>
  </tableColumns>
  <tableStyleInfo name="TableStyleMedium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CC74080-1F14-4313-B8F5-51E68B8EB16A}" name="Tabla2" displayName="Tabla2" ref="A3:D111" totalsRowCount="1">
  <autoFilter ref="A3:D110" xr:uid="{4CC74080-1F14-4313-B8F5-51E68B8EB16A}"/>
  <tableColumns count="4">
    <tableColumn id="1" xr3:uid="{CC51F24A-96F9-4903-A4EF-E500B3295509}" name="Marca" dataDxfId="50" totalsRowDxfId="51"/>
    <tableColumn id="2" xr3:uid="{3C05382C-D7A5-46AB-96E7-3DE3EB814151}" name="Tipo" dataDxfId="48" totalsRowDxfId="49"/>
    <tableColumn id="3" xr3:uid="{3996C303-4C65-4FF7-96DA-14DB7BE44ED2}" name="Sabor " dataDxfId="46" totalsRowDxfId="47"/>
    <tableColumn id="4" xr3:uid="{05E428F4-BE89-4330-8EA1-865D6C9DB630}" name="Cantidad" totalsRowFunction="custom" dataDxfId="44" totalsRowDxfId="45">
      <totalsRowFormula>SUM(Tabla2[Cantidad])</totalsRowFormula>
    </tableColumn>
  </tableColumns>
  <tableStyleInfo name="TableStyleMedium4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2D1A9E0-E7AA-401C-92A0-80B2E0A245F3}" name="Tabla7" displayName="Tabla7" ref="A3:K13" totalsRowCount="1" headerRowDxfId="41">
  <autoFilter ref="A3:K12" xr:uid="{52D1A9E0-E7AA-401C-92A0-80B2E0A245F3}"/>
  <tableColumns count="11">
    <tableColumn id="1" xr3:uid="{A0AD537B-2DAA-4204-B4F5-4FD40121784D}" name="Columna1"/>
    <tableColumn id="2" xr3:uid="{EF5A7C3B-FD92-427F-BF85-A364B915EF0A}" name="28/03/2022" totalsRowFunction="custom" dataDxfId="39" totalsRowDxfId="40" dataCellStyle="Moneda">
      <totalsRowFormula>SUM(Tabla7[28/03/2022])</totalsRowFormula>
    </tableColumn>
    <tableColumn id="3" xr3:uid="{752BF8C4-5625-446B-AB83-A109E8FFD50B}" name="29/03/2022" totalsRowFunction="custom" dataDxfId="37" totalsRowDxfId="38">
      <calculatedColumnFormula>160+20</calculatedColumnFormula>
      <totalsRowFormula>SUM(Tabla7[29/03/2022])</totalsRowFormula>
    </tableColumn>
    <tableColumn id="4" xr3:uid="{1361DD73-61FC-4032-88FB-A3288CC91F7B}" name="30/03/2022" totalsRowFunction="custom" totalsRowDxfId="36">
      <totalsRowFormula>SUM(Tabla7[30/03/2022])</totalsRowFormula>
    </tableColumn>
    <tableColumn id="5" xr3:uid="{A5819E87-93B1-4C0F-AADE-90BEA16C9562}" name="31/03/2022" totalsRowFunction="custom" totalsRowDxfId="35">
      <totalsRowFormula>SUM(Tabla7[31/03/2022])</totalsRowFormula>
    </tableColumn>
    <tableColumn id="10" xr3:uid="{CE5C35D9-0D7F-4320-8DDB-4F7A42E49B2A}" name="01/04/2022" totalsRowFunction="custom" dataDxfId="33" totalsRowDxfId="34" dataCellStyle="Moneda">
      <totalsRowFormula>SUM(Tabla7[01/04/2022])</totalsRowFormula>
    </tableColumn>
    <tableColumn id="9" xr3:uid="{593922CF-4416-4C82-A6A2-A87C0D3A0E53}" name="02/04/2022" totalsRowFunction="custom" dataDxfId="31" totalsRowDxfId="32" dataCellStyle="Moneda">
      <totalsRowFormula>SUM(Tabla7[02/04/2022])</totalsRowFormula>
    </tableColumn>
    <tableColumn id="8" xr3:uid="{E2FF480D-5A47-4C1F-A541-549EC9F9B238}" name="03/04/2022" totalsRowFunction="custom" dataDxfId="29" totalsRowDxfId="30" dataCellStyle="Moneda">
      <totalsRowFormula>SUM(Tabla7[03/04/2022])</totalsRowFormula>
    </tableColumn>
    <tableColumn id="6" xr3:uid="{F2072B2B-7C48-4371-9202-A02D04EF715D}" name="06/04/2022" totalsRowFunction="custom" totalsRowDxfId="28">
      <totalsRowFormula>SUM(Tabla7[06/04/2022])</totalsRowFormula>
    </tableColumn>
    <tableColumn id="12" xr3:uid="{F931A58E-AFBB-4CBA-A3BC-DDC5CE785EA7}" name="11/03/2023" totalsRowFunction="custom" dataDxfId="26" totalsRowDxfId="27" dataCellStyle="Moneda">
      <totalsRowFormula>SUM(Tabla7[11/03/2023])</totalsRowFormula>
    </tableColumn>
    <tableColumn id="7" xr3:uid="{60ECC925-A48C-4DC9-81E5-FF955B3D8556}" name="Total" totalsRowFunction="custom">
      <totalsRowFormula>SUM(Tabla7[[#Totals],[28/03/2022]:[11/03/2023]])</totalsRowFormula>
    </tableColumn>
  </tableColumns>
  <tableStyleInfo name="TableStyleMedium4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8786679-2B4F-4CB4-9847-7CE337E749BD}" name="Tabla5" displayName="Tabla5" ref="A15:M18" totalsRowCount="1" headerRowDxfId="25">
  <autoFilter ref="A15:M17" xr:uid="{A8786679-2B4F-4CB4-9847-7CE337E749BD}"/>
  <tableColumns count="13">
    <tableColumn id="1" xr3:uid="{4A7F006E-D156-4D25-9620-1DF57DB754C9}" name="Reparto de utilidades "/>
    <tableColumn id="2" xr3:uid="{930E8971-F8FD-45FC-970E-0F1629C16E12}" name="28/03/2022" totalsRowFunction="custom" totalsRowDxfId="24">
      <totalsRowFormula>SUM(Tabla5[28/03/2022])</totalsRowFormula>
    </tableColumn>
    <tableColumn id="3" xr3:uid="{201E617B-56E9-4DB2-B544-BFA3B2D51CA2}" name="28/03/2023" totalsRowFunction="custom" totalsRowDxfId="23">
      <totalsRowFormula>SUM(Tabla5[28/03/2023])</totalsRowFormula>
    </tableColumn>
    <tableColumn id="4" xr3:uid="{4F290A8F-BDE7-4B5B-B791-FED71270E5B3}" name="28/03/2024" totalsRowFunction="custom" dataDxfId="21" totalsRowDxfId="22">
      <totalsRowFormula>SUM(Tabla5[28/03/2024])</totalsRowFormula>
    </tableColumn>
    <tableColumn id="5" xr3:uid="{AD8E093B-8A6A-4F95-B9BD-E411CB702BEC}" name="28/03/2025" totalsRowFunction="custom" totalsRowDxfId="20">
      <totalsRowFormula>SUM(Tabla5[28/03/2025])</totalsRowFormula>
    </tableColumn>
    <tableColumn id="6" xr3:uid="{A8FF236A-4C76-42F4-BA87-DA2CD4401F88}" name="28/03/2026" totalsRowFunction="custom" totalsRowDxfId="19">
      <totalsRowFormula>SUM(Tabla5[28/03/2026])</totalsRowFormula>
    </tableColumn>
    <tableColumn id="7" xr3:uid="{9A9BB4B2-4CFD-405B-B5BB-792A16EAAD49}" name="28/03/2027" totalsRowFunction="custom" totalsRowDxfId="18">
      <totalsRowFormula>SUM(Tabla5[28/03/2027])</totalsRowFormula>
    </tableColumn>
    <tableColumn id="8" xr3:uid="{8F479871-150A-485A-B7EC-AE9C87D01C52}" name="28/03/2028" totalsRowFunction="custom" totalsRowDxfId="17">
      <totalsRowFormula>SUM(Tabla5[28/03/2028])</totalsRowFormula>
    </tableColumn>
    <tableColumn id="9" xr3:uid="{30D0694E-81E8-4C03-A791-E94349D57AE2}" name="28/03/2029" totalsRowFunction="custom" totalsRowDxfId="16">
      <totalsRowFormula>SUM(Tabla5[28/03/2029])</totalsRowFormula>
    </tableColumn>
    <tableColumn id="10" xr3:uid="{9A83CE2B-31A0-48DB-B7BF-1F6B3D1E1F6C}" name="28/03/2030" totalsRowFunction="custom" totalsRowDxfId="15">
      <totalsRowFormula>SUM(Tabla5[28/03/2030])</totalsRowFormula>
    </tableColumn>
    <tableColumn id="11" xr3:uid="{8CDBEBB5-4CDD-42F9-95F2-DEC6C75D48F7}" name="28/03/2031" totalsRowFunction="custom" totalsRowDxfId="14">
      <totalsRowFormula>SUM(Tabla5[28/03/2031])</totalsRowFormula>
    </tableColumn>
    <tableColumn id="12" xr3:uid="{4BB92883-8F08-4117-9C59-79343ECD275C}" name="28/03/2032" totalsRowFunction="custom" totalsRowDxfId="13">
      <totalsRowFormula>SUM(Tabla5[28/03/2032])</totalsRowFormula>
    </tableColumn>
    <tableColumn id="13" xr3:uid="{AD18E43D-34EB-4B79-8482-737282A95752}" name="Total" totalsRowFunction="custom" totalsRowDxfId="12" totalsRowCellStyle="Moneda">
      <totalsRowFormula>SUM(Tabla5[[#Totals],[28/03/2022]:[28/03/2032]])</totalsRowFormula>
    </tableColumn>
  </tableColumns>
  <tableStyleInfo name="TableStyleMedium4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0F0B453-423E-4D55-BA19-28AF3C07DCC4}" name="Tabla1" displayName="Tabla1" ref="A2:C68" totalsRowCount="1">
  <autoFilter ref="A2:C67" xr:uid="{50F0B453-423E-4D55-BA19-28AF3C07DCC4}"/>
  <tableColumns count="3">
    <tableColumn id="1" xr3:uid="{50508D0D-37F6-4B65-A0C0-7EF0CB66AC50}" name="Concepto "/>
    <tableColumn id="2" xr3:uid="{558675ED-8B48-47E3-9C5F-FFDAC61A3A6C}" name="Banco" totalsRowFunction="custom" dataDxfId="10" totalsRowDxfId="11" dataCellStyle="Moneda">
      <totalsRowFormula>SUM(Tabla1[Banco])</totalsRowFormula>
    </tableColumn>
    <tableColumn id="3" xr3:uid="{8D831995-6229-4AA5-920D-F56EF4B94398}" name="Efecitvo" totalsRowFunction="sum" dataDxfId="8" totalsRowDxfId="9" dataCellStyle="Moneda">
      <calculatedColumnFormula>450+270</calculatedColumnFormula>
    </tableColumn>
  </tableColumns>
  <tableStyleInfo name="TableStyleMedium4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9679354-D181-463B-958F-7DBA054505BF}" name="Tabla15" displayName="Tabla15" ref="E2:G64" totalsRowCount="1">
  <autoFilter ref="E2:G63" xr:uid="{89679354-D181-463B-958F-7DBA054505BF}"/>
  <tableColumns count="3">
    <tableColumn id="1" xr3:uid="{477B5C3A-D03E-4D3A-B5E2-AC28B64FD148}" name="Concepto "/>
    <tableColumn id="2" xr3:uid="{B8432147-971F-4D42-99F9-9F744F89FD52}" name="Banco" totalsRowFunction="sum" dataDxfId="6" totalsRowDxfId="7" dataCellStyle="Moneda"/>
    <tableColumn id="3" xr3:uid="{1D612FD2-8961-45DE-A21B-90C787CE320A}" name="Efecitvo" totalsRowFunction="sum" dataDxfId="4" totalsRowDxfId="5" dataCellStyle="Moneda">
      <calculatedColumnFormula>540+270+190</calculatedColumnFormula>
    </tableColumn>
  </tableColumns>
  <tableStyleInfo name="TableStyleMedium4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C879265-B24C-4FB3-9DE8-6D9510A34AED}" name="Tabla3" displayName="Tabla3" ref="E2:F9" totalsRowCount="1">
  <autoFilter ref="E2:F8" xr:uid="{AC879265-B24C-4FB3-9DE8-6D9510A34AED}"/>
  <sortState xmlns:xlrd2="http://schemas.microsoft.com/office/spreadsheetml/2017/richdata2" ref="E3:F8">
    <sortCondition descending="1" ref="F2:F8"/>
  </sortState>
  <tableColumns count="2">
    <tableColumn id="1" xr3:uid="{CD21D16E-D1EB-4C74-BCAE-739486EA962A}" name="Pendientes de pago"/>
    <tableColumn id="2" xr3:uid="{90952C3F-C2C8-46FD-920B-42F9ECA400BA}" name="Cantidad" totalsRowFunction="custom" dataDxfId="0" totalsRowDxfId="1" dataCellStyle="Moneda">
      <calculatedColumnFormula>310</calculatedColumnFormula>
      <totalsRowFormula>SUM(Tabla3[Cantidad])</totalsRowFormula>
    </tableColumn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BUS_Activity Based Cost Tracke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7F5E6"/>
      </a:accent1>
      <a:accent2>
        <a:srgbClr val="333A56"/>
      </a:accent2>
      <a:accent3>
        <a:srgbClr val="52658F"/>
      </a:accent3>
      <a:accent4>
        <a:srgbClr val="E8E8E8"/>
      </a:accent4>
      <a:accent5>
        <a:srgbClr val="000000"/>
      </a:accent5>
      <a:accent6>
        <a:srgbClr val="8A8A8A"/>
      </a:accent6>
      <a:hlink>
        <a:srgbClr val="0096D2"/>
      </a:hlink>
      <a:folHlink>
        <a:srgbClr val="00578B"/>
      </a:folHlink>
    </a:clrScheme>
    <a:fontScheme name="Business Templates Font Set">
      <a:majorFont>
        <a:latin typeface="Franklin Gothic Book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CCCCE-E061-426D-A659-F52FC88941DD}">
  <sheetPr codeName="Hoja3"/>
  <dimension ref="A1:AC35"/>
  <sheetViews>
    <sheetView topLeftCell="X23" zoomScale="70" zoomScaleNormal="70" workbookViewId="0">
      <selection activeCell="AA41" sqref="AA41"/>
    </sheetView>
  </sheetViews>
  <sheetFormatPr defaultColWidth="11.109375" defaultRowHeight="13.5"/>
  <cols>
    <col min="3" max="3" width="13.77734375" bestFit="1" customWidth="1"/>
    <col min="4" max="20" width="12.6640625" hidden="1" customWidth="1"/>
    <col min="21" max="21" width="12.6640625" customWidth="1"/>
    <col min="24" max="24" width="13.5546875" bestFit="1" customWidth="1"/>
    <col min="25" max="25" width="15.44140625" bestFit="1" customWidth="1"/>
  </cols>
  <sheetData>
    <row r="1" spans="1:29">
      <c r="A1" t="s">
        <v>0</v>
      </c>
    </row>
    <row r="2" spans="1:29">
      <c r="A2" t="s">
        <v>1</v>
      </c>
      <c r="B2" t="s">
        <v>2</v>
      </c>
      <c r="C2" t="s">
        <v>3</v>
      </c>
      <c r="D2" t="s">
        <v>4</v>
      </c>
    </row>
    <row r="3" spans="1:29">
      <c r="A3" s="3" t="s">
        <v>5</v>
      </c>
      <c r="B3" s="3" t="s">
        <v>6</v>
      </c>
      <c r="C3" s="3">
        <v>115</v>
      </c>
      <c r="D3">
        <v>190</v>
      </c>
    </row>
    <row r="4" spans="1:29">
      <c r="A4" s="3" t="s">
        <v>7</v>
      </c>
      <c r="B4" s="3" t="s">
        <v>6</v>
      </c>
      <c r="C4" s="3">
        <v>175</v>
      </c>
      <c r="D4">
        <v>270</v>
      </c>
    </row>
    <row r="5" spans="1:29">
      <c r="A5" s="3" t="s">
        <v>8</v>
      </c>
      <c r="B5" s="3" t="s">
        <v>9</v>
      </c>
      <c r="C5" s="3">
        <v>150</v>
      </c>
      <c r="D5">
        <v>275</v>
      </c>
    </row>
    <row r="6" spans="1:29">
      <c r="A6" t="s">
        <v>2</v>
      </c>
      <c r="B6" t="s">
        <v>10</v>
      </c>
      <c r="C6" t="s">
        <v>11</v>
      </c>
      <c r="D6" s="6" t="s">
        <v>12</v>
      </c>
      <c r="E6" s="6" t="s">
        <v>13</v>
      </c>
      <c r="F6" s="6" t="s">
        <v>14</v>
      </c>
      <c r="G6" s="6" t="s">
        <v>15</v>
      </c>
      <c r="H6" s="6" t="s">
        <v>16</v>
      </c>
      <c r="I6" s="6" t="s">
        <v>17</v>
      </c>
      <c r="J6" s="6" t="s">
        <v>18</v>
      </c>
      <c r="K6" s="6" t="s">
        <v>19</v>
      </c>
      <c r="L6" s="6" t="s">
        <v>20</v>
      </c>
      <c r="M6" s="6" t="s">
        <v>21</v>
      </c>
      <c r="N6" s="6" t="s">
        <v>22</v>
      </c>
      <c r="O6" s="6" t="s">
        <v>23</v>
      </c>
      <c r="P6" s="6" t="s">
        <v>24</v>
      </c>
      <c r="Q6" s="6" t="s">
        <v>25</v>
      </c>
      <c r="R6" s="6" t="s">
        <v>26</v>
      </c>
      <c r="S6" s="6" t="s">
        <v>27</v>
      </c>
      <c r="T6" s="6" t="s">
        <v>28</v>
      </c>
      <c r="U6" s="6" t="s">
        <v>29</v>
      </c>
      <c r="V6" t="s">
        <v>30</v>
      </c>
      <c r="W6" t="s">
        <v>31</v>
      </c>
      <c r="X6" s="6" t="s">
        <v>3</v>
      </c>
      <c r="Y6" s="6" t="s">
        <v>4</v>
      </c>
      <c r="Z6" s="6" t="s">
        <v>32</v>
      </c>
      <c r="AA6" s="6" t="s">
        <v>33</v>
      </c>
      <c r="AB6" s="6" t="s">
        <v>34</v>
      </c>
      <c r="AC6" s="6" t="s">
        <v>35</v>
      </c>
    </row>
    <row r="7" spans="1:29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W7" s="20"/>
      <c r="X7" s="21"/>
      <c r="Y7" s="21"/>
      <c r="Z7" s="21"/>
      <c r="AA7" s="21"/>
      <c r="AB7" s="21"/>
      <c r="AC7" s="21"/>
    </row>
    <row r="8" spans="1:29">
      <c r="A8" s="3" t="s">
        <v>36</v>
      </c>
      <c r="B8" s="3" t="s">
        <v>5</v>
      </c>
      <c r="C8" s="4" t="s">
        <v>37</v>
      </c>
      <c r="D8">
        <v>11</v>
      </c>
      <c r="H8">
        <v>1</v>
      </c>
      <c r="U8">
        <f>SUM(Tabla6[[#This Row],[Ventas anteriores]:[13/04/2023]])</f>
        <v>12</v>
      </c>
      <c r="W8">
        <f>IF(ISBLANK(V8),0,V8*25)</f>
        <v>0</v>
      </c>
      <c r="X8" s="7">
        <f>VLOOKUP(Tabla6[[#This Row],[Tipo ]],$A$3:$D$5,3,0)</f>
        <v>115</v>
      </c>
      <c r="Y8" s="7">
        <f>VLOOKUP(Tabla6[[#This Row],[Tipo ]],$A$3:$D$5,4,0)</f>
        <v>190</v>
      </c>
      <c r="Z8" s="7">
        <f>Tabla6[[#This Row],[Costo unitario]]*Tabla6[[#This Row],[Total de uni/vendi]]</f>
        <v>1380</v>
      </c>
      <c r="AA8" s="7">
        <f>Tabla6[[#This Row],[Precio de venta ]]*Tabla6[[#This Row],[Total de uni/vendi]]-Tabla6[[#This Row],[Descuento]]</f>
        <v>2280</v>
      </c>
      <c r="AB8" s="7">
        <f>Tabla6[[#This Row],[Ventas totales]]-Tabla6[[#This Row],[Costo]]</f>
        <v>900</v>
      </c>
      <c r="AC8" s="7">
        <f>Tabla6[[#This Row],[Utilidad]]-Tabla6[[#This Row],[Descuento]]</f>
        <v>900</v>
      </c>
    </row>
    <row r="9" spans="1:29">
      <c r="A9" s="3" t="s">
        <v>36</v>
      </c>
      <c r="B9" s="3" t="s">
        <v>5</v>
      </c>
      <c r="C9" s="4" t="s">
        <v>38</v>
      </c>
      <c r="D9">
        <v>6</v>
      </c>
      <c r="K9">
        <v>1</v>
      </c>
      <c r="L9">
        <v>2</v>
      </c>
      <c r="U9">
        <f>SUM(Tabla6[[#This Row],[Ventas anteriores]:[13/04/2023]])</f>
        <v>9</v>
      </c>
      <c r="V9">
        <v>1</v>
      </c>
      <c r="W9">
        <f t="shared" ref="W9:W21" si="0">IF(ISBLANK(V9),0,V9*25)</f>
        <v>25</v>
      </c>
      <c r="X9" s="7">
        <f>VLOOKUP(Tabla6[[#This Row],[Tipo ]],$A$3:$D$5,3,0)</f>
        <v>115</v>
      </c>
      <c r="Y9" s="7">
        <f>VLOOKUP(Tabla6[[#This Row],[Tipo ]],$A$3:$D$5,4,0)</f>
        <v>190</v>
      </c>
      <c r="Z9" s="7">
        <f>Tabla6[[#This Row],[Costo unitario]]*Tabla6[[#This Row],[Total de uni/vendi]]</f>
        <v>1035</v>
      </c>
      <c r="AA9" s="7">
        <f>Tabla6[[#This Row],[Precio de venta ]]*Tabla6[[#This Row],[Total de uni/vendi]]-Tabla6[[#This Row],[Descuento]]</f>
        <v>1685</v>
      </c>
      <c r="AB9" s="7">
        <f>Tabla6[[#This Row],[Ventas totales]]-Tabla6[[#This Row],[Costo]]</f>
        <v>650</v>
      </c>
      <c r="AC9" s="7">
        <f>Tabla6[[#This Row],[Utilidad]]-Tabla6[[#This Row],[Descuento]]</f>
        <v>625</v>
      </c>
    </row>
    <row r="10" spans="1:29">
      <c r="A10" s="3" t="s">
        <v>36</v>
      </c>
      <c r="B10" s="3" t="s">
        <v>5</v>
      </c>
      <c r="C10" s="4" t="s">
        <v>39</v>
      </c>
      <c r="D10">
        <v>8</v>
      </c>
      <c r="N10">
        <v>1</v>
      </c>
      <c r="U10">
        <f>SUM(Tabla6[[#This Row],[Ventas anteriores]:[13/04/2023]])</f>
        <v>9</v>
      </c>
      <c r="W10">
        <f t="shared" si="0"/>
        <v>0</v>
      </c>
      <c r="X10" s="7">
        <f>VLOOKUP(Tabla6[[#This Row],[Tipo ]],$A$3:$D$5,3,0)</f>
        <v>115</v>
      </c>
      <c r="Y10" s="7">
        <f>VLOOKUP(Tabla6[[#This Row],[Tipo ]],$A$3:$D$5,4,0)</f>
        <v>190</v>
      </c>
      <c r="Z10" s="7">
        <f>Tabla6[[#This Row],[Costo unitario]]*Tabla6[[#This Row],[Total de uni/vendi]]</f>
        <v>1035</v>
      </c>
      <c r="AA10" s="7">
        <f>Tabla6[[#This Row],[Precio de venta ]]*Tabla6[[#This Row],[Total de uni/vendi]]-Tabla6[[#This Row],[Descuento]]</f>
        <v>1710</v>
      </c>
      <c r="AB10" s="7">
        <f>Tabla6[[#This Row],[Ventas totales]]-Tabla6[[#This Row],[Costo]]</f>
        <v>675</v>
      </c>
      <c r="AC10" s="7">
        <f>Tabla6[[#This Row],[Utilidad]]-Tabla6[[#This Row],[Descuento]]</f>
        <v>675</v>
      </c>
    </row>
    <row r="11" spans="1:29">
      <c r="A11" s="3" t="s">
        <v>36</v>
      </c>
      <c r="B11" s="3" t="s">
        <v>5</v>
      </c>
      <c r="C11" s="4" t="s">
        <v>40</v>
      </c>
      <c r="D11">
        <v>10</v>
      </c>
      <c r="H11">
        <v>2</v>
      </c>
      <c r="I11">
        <v>1</v>
      </c>
      <c r="L11">
        <v>1</v>
      </c>
      <c r="U11">
        <f>SUM(Tabla6[[#This Row],[Ventas anteriores]:[13/04/2023]])</f>
        <v>14</v>
      </c>
      <c r="W11">
        <f t="shared" si="0"/>
        <v>0</v>
      </c>
      <c r="X11" s="7">
        <f>VLOOKUP(Tabla6[[#This Row],[Tipo ]],$A$3:$D$5,3,0)</f>
        <v>115</v>
      </c>
      <c r="Y11" s="7">
        <f>VLOOKUP(Tabla6[[#This Row],[Tipo ]],$A$3:$D$5,4,0)</f>
        <v>190</v>
      </c>
      <c r="Z11" s="7">
        <f>Tabla6[[#This Row],[Costo unitario]]*Tabla6[[#This Row],[Total de uni/vendi]]</f>
        <v>1610</v>
      </c>
      <c r="AA11" s="7">
        <f>Tabla6[[#This Row],[Precio de venta ]]*Tabla6[[#This Row],[Total de uni/vendi]]-Tabla6[[#This Row],[Descuento]]</f>
        <v>2660</v>
      </c>
      <c r="AB11" s="7">
        <f>Tabla6[[#This Row],[Ventas totales]]-Tabla6[[#This Row],[Costo]]</f>
        <v>1050</v>
      </c>
      <c r="AC11" s="7">
        <f>Tabla6[[#This Row],[Utilidad]]-Tabla6[[#This Row],[Descuento]]</f>
        <v>1050</v>
      </c>
    </row>
    <row r="12" spans="1:29">
      <c r="A12" s="3" t="s">
        <v>36</v>
      </c>
      <c r="B12" s="3" t="s">
        <v>5</v>
      </c>
      <c r="C12" s="4" t="s">
        <v>41</v>
      </c>
      <c r="D12">
        <v>7</v>
      </c>
      <c r="F12">
        <v>1</v>
      </c>
      <c r="H12">
        <v>1</v>
      </c>
      <c r="U12">
        <f>SUM(Tabla6[[#This Row],[Ventas anteriores]:[13/04/2023]])</f>
        <v>9</v>
      </c>
      <c r="W12">
        <f t="shared" si="0"/>
        <v>0</v>
      </c>
      <c r="X12" s="7">
        <f>VLOOKUP(Tabla6[[#This Row],[Tipo ]],$A$3:$D$5,3,0)</f>
        <v>115</v>
      </c>
      <c r="Y12" s="7">
        <f>VLOOKUP(Tabla6[[#This Row],[Tipo ]],$A$3:$D$5,4,0)</f>
        <v>190</v>
      </c>
      <c r="Z12" s="7">
        <f>Tabla6[[#This Row],[Costo unitario]]*Tabla6[[#This Row],[Total de uni/vendi]]</f>
        <v>1035</v>
      </c>
      <c r="AA12" s="7">
        <f>Tabla6[[#This Row],[Precio de venta ]]*Tabla6[[#This Row],[Total de uni/vendi]]-Tabla6[[#This Row],[Descuento]]</f>
        <v>1710</v>
      </c>
      <c r="AB12" s="7">
        <f>Tabla6[[#This Row],[Ventas totales]]-Tabla6[[#This Row],[Costo]]</f>
        <v>675</v>
      </c>
      <c r="AC12" s="7">
        <f>Tabla6[[#This Row],[Utilidad]]-Tabla6[[#This Row],[Descuento]]</f>
        <v>675</v>
      </c>
    </row>
    <row r="13" spans="1:29">
      <c r="A13" s="3" t="s">
        <v>36</v>
      </c>
      <c r="B13" s="3" t="s">
        <v>5</v>
      </c>
      <c r="C13" s="4" t="s">
        <v>42</v>
      </c>
      <c r="D13">
        <v>8</v>
      </c>
      <c r="F13">
        <v>1</v>
      </c>
      <c r="U13">
        <f>SUM(Tabla6[[#This Row],[Ventas anteriores]:[13/04/2023]])</f>
        <v>9</v>
      </c>
      <c r="W13">
        <f t="shared" si="0"/>
        <v>0</v>
      </c>
      <c r="X13" s="7">
        <f>VLOOKUP(Tabla6[[#This Row],[Tipo ]],$A$3:$D$5,3,0)</f>
        <v>115</v>
      </c>
      <c r="Y13" s="7">
        <f>VLOOKUP(Tabla6[[#This Row],[Tipo ]],$A$3:$D$5,4,0)</f>
        <v>190</v>
      </c>
      <c r="Z13" s="7">
        <f>Tabla6[[#This Row],[Costo unitario]]*Tabla6[[#This Row],[Total de uni/vendi]]</f>
        <v>1035</v>
      </c>
      <c r="AA13" s="7">
        <f>Tabla6[[#This Row],[Precio de venta ]]*Tabla6[[#This Row],[Total de uni/vendi]]-Tabla6[[#This Row],[Descuento]]</f>
        <v>1710</v>
      </c>
      <c r="AB13" s="7">
        <f>Tabla6[[#This Row],[Ventas totales]]-Tabla6[[#This Row],[Costo]]</f>
        <v>675</v>
      </c>
      <c r="AC13" s="7">
        <f>Tabla6[[#This Row],[Utilidad]]-Tabla6[[#This Row],[Descuento]]</f>
        <v>675</v>
      </c>
    </row>
    <row r="14" spans="1:29">
      <c r="A14" s="3" t="s">
        <v>36</v>
      </c>
      <c r="B14" s="3" t="s">
        <v>5</v>
      </c>
      <c r="C14" s="4" t="s">
        <v>43</v>
      </c>
      <c r="D14">
        <v>3</v>
      </c>
      <c r="L14">
        <v>1</v>
      </c>
      <c r="M14">
        <v>1</v>
      </c>
      <c r="N14">
        <v>1</v>
      </c>
      <c r="U14">
        <f>SUM(Tabla6[[#This Row],[Ventas anteriores]:[13/04/2023]])</f>
        <v>6</v>
      </c>
      <c r="V14">
        <v>1</v>
      </c>
      <c r="W14">
        <f t="shared" si="0"/>
        <v>25</v>
      </c>
      <c r="X14" s="7">
        <f>VLOOKUP(Tabla6[[#This Row],[Tipo ]],$A$3:$D$5,3,0)</f>
        <v>115</v>
      </c>
      <c r="Y14" s="7">
        <f>VLOOKUP(Tabla6[[#This Row],[Tipo ]],$A$3:$D$5,4,0)</f>
        <v>190</v>
      </c>
      <c r="Z14" s="7">
        <f>Tabla6[[#This Row],[Costo unitario]]*Tabla6[[#This Row],[Total de uni/vendi]]</f>
        <v>690</v>
      </c>
      <c r="AA14" s="7">
        <f>Tabla6[[#This Row],[Precio de venta ]]*Tabla6[[#This Row],[Total de uni/vendi]]-Tabla6[[#This Row],[Descuento]]</f>
        <v>1115</v>
      </c>
      <c r="AB14" s="7">
        <f>Tabla6[[#This Row],[Ventas totales]]-Tabla6[[#This Row],[Costo]]</f>
        <v>425</v>
      </c>
      <c r="AC14" s="7">
        <f>Tabla6[[#This Row],[Utilidad]]-Tabla6[[#This Row],[Descuento]]</f>
        <v>400</v>
      </c>
    </row>
    <row r="15" spans="1:29">
      <c r="A15" s="3" t="s">
        <v>36</v>
      </c>
      <c r="B15" s="3" t="s">
        <v>5</v>
      </c>
      <c r="C15" s="4" t="s">
        <v>44</v>
      </c>
      <c r="D15">
        <v>3</v>
      </c>
      <c r="K15">
        <v>1</v>
      </c>
      <c r="L15">
        <v>2</v>
      </c>
      <c r="U15">
        <f>SUM(Tabla6[[#This Row],[Ventas anteriores]:[13/04/2023]])</f>
        <v>6</v>
      </c>
      <c r="V15">
        <v>1</v>
      </c>
      <c r="W15">
        <f t="shared" si="0"/>
        <v>25</v>
      </c>
      <c r="X15" s="7">
        <f>VLOOKUP(Tabla6[[#This Row],[Tipo ]],$A$3:$D$5,3,0)</f>
        <v>115</v>
      </c>
      <c r="Y15" s="7">
        <f>VLOOKUP(Tabla6[[#This Row],[Tipo ]],$A$3:$D$5,4,0)</f>
        <v>190</v>
      </c>
      <c r="Z15" s="7">
        <f>Tabla6[[#This Row],[Costo unitario]]*Tabla6[[#This Row],[Total de uni/vendi]]</f>
        <v>690</v>
      </c>
      <c r="AA15" s="7">
        <f>Tabla6[[#This Row],[Precio de venta ]]*Tabla6[[#This Row],[Total de uni/vendi]]-Tabla6[[#This Row],[Descuento]]</f>
        <v>1115</v>
      </c>
      <c r="AB15" s="7">
        <f>Tabla6[[#This Row],[Ventas totales]]-Tabla6[[#This Row],[Costo]]</f>
        <v>425</v>
      </c>
      <c r="AC15" s="7">
        <f>Tabla6[[#This Row],[Utilidad]]-Tabla6[[#This Row],[Descuento]]</f>
        <v>400</v>
      </c>
    </row>
    <row r="16" spans="1:29">
      <c r="A16" s="3" t="s">
        <v>36</v>
      </c>
      <c r="B16" s="3" t="s">
        <v>5</v>
      </c>
      <c r="C16" s="4" t="s">
        <v>45</v>
      </c>
      <c r="D16">
        <v>1</v>
      </c>
      <c r="U16">
        <f>SUM(Tabla6[[#This Row],[Ventas anteriores]:[13/04/2023]])</f>
        <v>1</v>
      </c>
      <c r="W16">
        <f t="shared" si="0"/>
        <v>0</v>
      </c>
      <c r="X16" s="7">
        <f>VLOOKUP(Tabla6[[#This Row],[Tipo ]],$A$3:$D$5,3,0)</f>
        <v>115</v>
      </c>
      <c r="Y16" s="7">
        <f>VLOOKUP(Tabla6[[#This Row],[Tipo ]],$A$3:$D$5,4,0)</f>
        <v>190</v>
      </c>
      <c r="Z16" s="7">
        <f>Tabla6[[#This Row],[Costo unitario]]*Tabla6[[#This Row],[Total de uni/vendi]]</f>
        <v>115</v>
      </c>
      <c r="AA16" s="7">
        <f>Tabla6[[#This Row],[Precio de venta ]]*Tabla6[[#This Row],[Total de uni/vendi]]-Tabla6[[#This Row],[Descuento]]</f>
        <v>190</v>
      </c>
      <c r="AB16" s="7">
        <f>Tabla6[[#This Row],[Ventas totales]]-Tabla6[[#This Row],[Costo]]</f>
        <v>75</v>
      </c>
      <c r="AC16" s="7">
        <f>Tabla6[[#This Row],[Utilidad]]-Tabla6[[#This Row],[Descuento]]</f>
        <v>75</v>
      </c>
    </row>
    <row r="17" spans="1:29">
      <c r="A17" s="3" t="s">
        <v>36</v>
      </c>
      <c r="B17" s="3" t="s">
        <v>5</v>
      </c>
      <c r="C17" s="4" t="s">
        <v>46</v>
      </c>
      <c r="D17">
        <v>6</v>
      </c>
      <c r="H17">
        <v>2</v>
      </c>
      <c r="U17">
        <f>SUM(Tabla6[[#This Row],[Ventas anteriores]:[13/04/2023]])</f>
        <v>8</v>
      </c>
      <c r="V17">
        <v>1</v>
      </c>
      <c r="W17">
        <f t="shared" si="0"/>
        <v>25</v>
      </c>
      <c r="X17" s="7">
        <f>VLOOKUP(Tabla6[[#This Row],[Tipo ]],$A$3:$D$5,3,0)</f>
        <v>115</v>
      </c>
      <c r="Y17" s="7">
        <f>VLOOKUP(Tabla6[[#This Row],[Tipo ]],$A$3:$D$5,4,0)</f>
        <v>190</v>
      </c>
      <c r="Z17" s="7">
        <f>Tabla6[[#This Row],[Costo unitario]]*Tabla6[[#This Row],[Total de uni/vendi]]</f>
        <v>920</v>
      </c>
      <c r="AA17" s="7">
        <f>Tabla6[[#This Row],[Precio de venta ]]*Tabla6[[#This Row],[Total de uni/vendi]]-Tabla6[[#This Row],[Descuento]]</f>
        <v>1495</v>
      </c>
      <c r="AB17" s="7">
        <f>Tabla6[[#This Row],[Ventas totales]]-Tabla6[[#This Row],[Costo]]</f>
        <v>575</v>
      </c>
      <c r="AC17" s="7">
        <f>Tabla6[[#This Row],[Utilidad]]-Tabla6[[#This Row],[Descuento]]</f>
        <v>550</v>
      </c>
    </row>
    <row r="18" spans="1:29">
      <c r="A18" s="3" t="s">
        <v>36</v>
      </c>
      <c r="B18" s="3" t="s">
        <v>5</v>
      </c>
      <c r="C18" s="4" t="s">
        <v>47</v>
      </c>
      <c r="D18">
        <v>1</v>
      </c>
      <c r="I18">
        <v>1</v>
      </c>
      <c r="L18">
        <v>1</v>
      </c>
      <c r="S18">
        <v>1</v>
      </c>
      <c r="U18">
        <f>SUM(Tabla6[[#This Row],[Ventas anteriores]:[13/04/2023]])</f>
        <v>4</v>
      </c>
      <c r="W18">
        <f t="shared" si="0"/>
        <v>0</v>
      </c>
      <c r="X18" s="7">
        <f>VLOOKUP(Tabla6[[#This Row],[Tipo ]],$A$3:$D$5,3,0)</f>
        <v>115</v>
      </c>
      <c r="Y18" s="7">
        <f>VLOOKUP(Tabla6[[#This Row],[Tipo ]],$A$3:$D$5,4,0)</f>
        <v>190</v>
      </c>
      <c r="Z18" s="7">
        <f>Tabla6[[#This Row],[Costo unitario]]*Tabla6[[#This Row],[Total de uni/vendi]]</f>
        <v>460</v>
      </c>
      <c r="AA18" s="7">
        <f>Tabla6[[#This Row],[Precio de venta ]]*Tabla6[[#This Row],[Total de uni/vendi]]-Tabla6[[#This Row],[Descuento]]</f>
        <v>760</v>
      </c>
      <c r="AB18" s="7">
        <f>Tabla6[[#This Row],[Ventas totales]]-Tabla6[[#This Row],[Costo]]</f>
        <v>300</v>
      </c>
      <c r="AC18" s="7">
        <f>Tabla6[[#This Row],[Utilidad]]-Tabla6[[#This Row],[Descuento]]</f>
        <v>300</v>
      </c>
    </row>
    <row r="19" spans="1:29">
      <c r="A19" s="3" t="s">
        <v>9</v>
      </c>
      <c r="B19" s="3" t="s">
        <v>8</v>
      </c>
      <c r="C19" s="5" t="s">
        <v>48</v>
      </c>
      <c r="D19">
        <v>2</v>
      </c>
      <c r="U19">
        <f>SUM(Tabla6[[#This Row],[Ventas anteriores]:[13/04/2023]])</f>
        <v>2</v>
      </c>
      <c r="W19">
        <f t="shared" si="0"/>
        <v>0</v>
      </c>
      <c r="X19" s="7">
        <f>VLOOKUP(Tabla6[[#This Row],[Tipo ]],$A$3:$D$5,3,0)</f>
        <v>150</v>
      </c>
      <c r="Y19" s="7">
        <f>VLOOKUP(Tabla6[[#This Row],[Tipo ]],$A$3:$D$5,4,0)</f>
        <v>275</v>
      </c>
      <c r="Z19" s="7">
        <f>Tabla6[[#This Row],[Costo unitario]]*Tabla6[[#This Row],[Total de uni/vendi]]</f>
        <v>300</v>
      </c>
      <c r="AA19" s="7">
        <f>Tabla6[[#This Row],[Precio de venta ]]*Tabla6[[#This Row],[Total de uni/vendi]]-Tabla6[[#This Row],[Descuento]]</f>
        <v>550</v>
      </c>
      <c r="AB19" s="7">
        <f>Tabla6[[#This Row],[Ventas totales]]-Tabla6[[#This Row],[Costo]]</f>
        <v>250</v>
      </c>
      <c r="AC19" s="7">
        <f>Tabla6[[#This Row],[Utilidad]]-Tabla6[[#This Row],[Descuento]]</f>
        <v>250</v>
      </c>
    </row>
    <row r="20" spans="1:29">
      <c r="A20" s="3" t="s">
        <v>9</v>
      </c>
      <c r="B20" s="3" t="s">
        <v>8</v>
      </c>
      <c r="C20" s="5" t="s">
        <v>49</v>
      </c>
      <c r="D20">
        <v>2</v>
      </c>
      <c r="U20">
        <f>SUM(Tabla6[[#This Row],[Ventas anteriores]:[13/04/2023]])</f>
        <v>2</v>
      </c>
      <c r="W20">
        <f t="shared" si="0"/>
        <v>0</v>
      </c>
      <c r="X20" s="7">
        <f>VLOOKUP(Tabla6[[#This Row],[Tipo ]],$A$3:$D$5,3,0)</f>
        <v>150</v>
      </c>
      <c r="Y20" s="7">
        <f>VLOOKUP(Tabla6[[#This Row],[Tipo ]],$A$3:$D$5,4,0)</f>
        <v>275</v>
      </c>
      <c r="Z20" s="7">
        <f>Tabla6[[#This Row],[Costo unitario]]*Tabla6[[#This Row],[Total de uni/vendi]]</f>
        <v>300</v>
      </c>
      <c r="AA20" s="7">
        <f>Tabla6[[#This Row],[Precio de venta ]]*Tabla6[[#This Row],[Total de uni/vendi]]-Tabla6[[#This Row],[Descuento]]</f>
        <v>550</v>
      </c>
      <c r="AB20" s="7">
        <f>Tabla6[[#This Row],[Ventas totales]]-Tabla6[[#This Row],[Costo]]</f>
        <v>250</v>
      </c>
      <c r="AC20" s="7">
        <f>Tabla6[[#This Row],[Utilidad]]-Tabla6[[#This Row],[Descuento]]</f>
        <v>250</v>
      </c>
    </row>
    <row r="21" spans="1:29">
      <c r="A21" s="3" t="s">
        <v>9</v>
      </c>
      <c r="B21" s="3" t="s">
        <v>8</v>
      </c>
      <c r="C21" s="5" t="s">
        <v>38</v>
      </c>
      <c r="D21">
        <v>2</v>
      </c>
      <c r="U21">
        <f>SUM(Tabla6[[#This Row],[Ventas anteriores]:[13/04/2023]])</f>
        <v>2</v>
      </c>
      <c r="W21">
        <f t="shared" si="0"/>
        <v>0</v>
      </c>
      <c r="X21" s="7">
        <f>VLOOKUP(Tabla6[[#This Row],[Tipo ]],$A$3:$D$5,3,0)</f>
        <v>150</v>
      </c>
      <c r="Y21" s="7">
        <f>VLOOKUP(Tabla6[[#This Row],[Tipo ]],$A$3:$D$5,4,0)</f>
        <v>275</v>
      </c>
      <c r="Z21" s="7">
        <f>Tabla6[[#This Row],[Costo unitario]]*Tabla6[[#This Row],[Total de uni/vendi]]</f>
        <v>300</v>
      </c>
      <c r="AA21" s="7">
        <f>Tabla6[[#This Row],[Precio de venta ]]*Tabla6[[#This Row],[Total de uni/vendi]]-Tabla6[[#This Row],[Descuento]]</f>
        <v>550</v>
      </c>
      <c r="AB21" s="7">
        <f>Tabla6[[#This Row],[Ventas totales]]-Tabla6[[#This Row],[Costo]]</f>
        <v>250</v>
      </c>
      <c r="AC21" s="7">
        <f>Tabla6[[#This Row],[Utilidad]]-Tabla6[[#This Row],[Descuento]]</f>
        <v>250</v>
      </c>
    </row>
    <row r="22" spans="1:29">
      <c r="A22" s="3" t="s">
        <v>36</v>
      </c>
      <c r="B22" s="3" t="s">
        <v>7</v>
      </c>
      <c r="C22" s="5" t="s">
        <v>41</v>
      </c>
      <c r="D22">
        <v>5</v>
      </c>
      <c r="E22">
        <v>1</v>
      </c>
      <c r="I22">
        <v>3</v>
      </c>
      <c r="L22">
        <v>1</v>
      </c>
      <c r="M22">
        <v>2</v>
      </c>
      <c r="N22">
        <v>2</v>
      </c>
      <c r="O22">
        <v>1</v>
      </c>
      <c r="P22">
        <v>2</v>
      </c>
      <c r="S22">
        <v>1</v>
      </c>
      <c r="T22">
        <v>1</v>
      </c>
      <c r="U22">
        <f>SUM(Tabla6[[#This Row],[Ventas anteriores]:[13/04/2023]])</f>
        <v>19</v>
      </c>
      <c r="V22">
        <v>1</v>
      </c>
      <c r="W22">
        <f>IF(ISBLANK(V22),0,V22*20)</f>
        <v>20</v>
      </c>
      <c r="X22" s="7">
        <f>VLOOKUP(Tabla6[[#This Row],[Tipo ]],$A$3:$D$5,3,0)</f>
        <v>175</v>
      </c>
      <c r="Y22" s="7">
        <f>VLOOKUP(Tabla6[[#This Row],[Tipo ]],$A$3:$D$5,4,0)</f>
        <v>270</v>
      </c>
      <c r="Z22" s="7">
        <f>Tabla6[[#This Row],[Costo unitario]]*Tabla6[[#This Row],[Total de uni/vendi]]</f>
        <v>3325</v>
      </c>
      <c r="AA22" s="7">
        <f>Tabla6[[#This Row],[Precio de venta ]]*Tabla6[[#This Row],[Total de uni/vendi]]-Tabla6[[#This Row],[Descuento]]</f>
        <v>5110</v>
      </c>
      <c r="AB22" s="7">
        <f>Tabla6[[#This Row],[Ventas totales]]-Tabla6[[#This Row],[Costo]]</f>
        <v>1785</v>
      </c>
      <c r="AC22" s="7">
        <f>Tabla6[[#This Row],[Utilidad]]-Tabla6[[#This Row],[Descuento]]</f>
        <v>1765</v>
      </c>
    </row>
    <row r="23" spans="1:29">
      <c r="A23" s="3" t="s">
        <v>36</v>
      </c>
      <c r="B23" s="3" t="s">
        <v>7</v>
      </c>
      <c r="C23" s="5" t="s">
        <v>50</v>
      </c>
      <c r="D23">
        <v>5</v>
      </c>
      <c r="E23">
        <v>1</v>
      </c>
      <c r="F23">
        <v>1</v>
      </c>
      <c r="H23">
        <v>1</v>
      </c>
      <c r="I23">
        <v>1</v>
      </c>
      <c r="L23">
        <v>4</v>
      </c>
      <c r="N23">
        <v>1</v>
      </c>
      <c r="O23">
        <v>1</v>
      </c>
      <c r="P23">
        <v>2</v>
      </c>
      <c r="Q23">
        <v>1</v>
      </c>
      <c r="S23">
        <v>1</v>
      </c>
      <c r="T23">
        <v>2</v>
      </c>
      <c r="U23">
        <f>SUM(Tabla6[[#This Row],[Ventas anteriores]:[13/04/2023]])</f>
        <v>21</v>
      </c>
      <c r="V23">
        <v>1</v>
      </c>
      <c r="W23">
        <f t="shared" ref="W23:W34" si="1">IF(ISBLANK(V23),0,V23*20)</f>
        <v>20</v>
      </c>
      <c r="X23" s="7">
        <f>VLOOKUP(Tabla6[[#This Row],[Tipo ]],$A$3:$D$5,3,0)</f>
        <v>175</v>
      </c>
      <c r="Y23" s="7">
        <f>VLOOKUP(Tabla6[[#This Row],[Tipo ]],$A$3:$D$5,4,0)</f>
        <v>270</v>
      </c>
      <c r="Z23" s="7">
        <f>Tabla6[[#This Row],[Costo unitario]]*Tabla6[[#This Row],[Total de uni/vendi]]</f>
        <v>3675</v>
      </c>
      <c r="AA23" s="7">
        <f>Tabla6[[#This Row],[Precio de venta ]]*Tabla6[[#This Row],[Total de uni/vendi]]-Tabla6[[#This Row],[Descuento]]</f>
        <v>5650</v>
      </c>
      <c r="AB23" s="7">
        <f>Tabla6[[#This Row],[Ventas totales]]-Tabla6[[#This Row],[Costo]]</f>
        <v>1975</v>
      </c>
      <c r="AC23" s="7">
        <f>Tabla6[[#This Row],[Utilidad]]-Tabla6[[#This Row],[Descuento]]</f>
        <v>1955</v>
      </c>
    </row>
    <row r="24" spans="1:29">
      <c r="A24" s="3" t="s">
        <v>36</v>
      </c>
      <c r="B24" s="3" t="s">
        <v>7</v>
      </c>
      <c r="C24" s="5" t="s">
        <v>51</v>
      </c>
      <c r="D24">
        <v>5</v>
      </c>
      <c r="F24">
        <v>2</v>
      </c>
      <c r="H24">
        <v>1</v>
      </c>
      <c r="L24">
        <v>2</v>
      </c>
      <c r="M24">
        <v>3</v>
      </c>
      <c r="N24">
        <v>3</v>
      </c>
      <c r="O24">
        <v>1</v>
      </c>
      <c r="P24">
        <v>2</v>
      </c>
      <c r="Q24">
        <v>2</v>
      </c>
      <c r="R24">
        <v>2</v>
      </c>
      <c r="S24">
        <v>1</v>
      </c>
      <c r="T24">
        <v>1</v>
      </c>
      <c r="U24">
        <f>SUM(Tabla6[[#This Row],[Ventas anteriores]:[13/04/2023]])</f>
        <v>25</v>
      </c>
      <c r="W24">
        <f t="shared" si="1"/>
        <v>0</v>
      </c>
      <c r="X24" s="7">
        <f>VLOOKUP(Tabla6[[#This Row],[Tipo ]],$A$3:$D$5,3,0)</f>
        <v>175</v>
      </c>
      <c r="Y24" s="7">
        <f>VLOOKUP(Tabla6[[#This Row],[Tipo ]],$A$3:$D$5,4,0)</f>
        <v>270</v>
      </c>
      <c r="Z24" s="7">
        <f>Tabla6[[#This Row],[Costo unitario]]*Tabla6[[#This Row],[Total de uni/vendi]]</f>
        <v>4375</v>
      </c>
      <c r="AA24" s="7">
        <f>Tabla6[[#This Row],[Precio de venta ]]*Tabla6[[#This Row],[Total de uni/vendi]]-Tabla6[[#This Row],[Descuento]]</f>
        <v>6750</v>
      </c>
      <c r="AB24" s="7">
        <f>Tabla6[[#This Row],[Ventas totales]]-Tabla6[[#This Row],[Costo]]</f>
        <v>2375</v>
      </c>
      <c r="AC24" s="7">
        <f>Tabla6[[#This Row],[Utilidad]]-Tabla6[[#This Row],[Descuento]]</f>
        <v>2375</v>
      </c>
    </row>
    <row r="25" spans="1:29">
      <c r="A25" s="3" t="s">
        <v>36</v>
      </c>
      <c r="B25" s="3" t="s">
        <v>7</v>
      </c>
      <c r="C25" s="5" t="s">
        <v>52</v>
      </c>
      <c r="D25">
        <v>5</v>
      </c>
      <c r="E25">
        <v>1</v>
      </c>
      <c r="H25">
        <v>1</v>
      </c>
      <c r="L25">
        <v>1</v>
      </c>
      <c r="M25">
        <v>2</v>
      </c>
      <c r="N25">
        <v>4</v>
      </c>
      <c r="O25">
        <v>1</v>
      </c>
      <c r="P25">
        <v>3</v>
      </c>
      <c r="T25">
        <v>1</v>
      </c>
      <c r="U25">
        <f>SUM(Tabla6[[#This Row],[Ventas anteriores]:[13/04/2023]])</f>
        <v>19</v>
      </c>
      <c r="V25">
        <v>1</v>
      </c>
      <c r="W25">
        <f t="shared" si="1"/>
        <v>20</v>
      </c>
      <c r="X25" s="7">
        <f>VLOOKUP(Tabla6[[#This Row],[Tipo ]],$A$3:$D$5,3,0)</f>
        <v>175</v>
      </c>
      <c r="Y25" s="7">
        <f>VLOOKUP(Tabla6[[#This Row],[Tipo ]],$A$3:$D$5,4,0)</f>
        <v>270</v>
      </c>
      <c r="Z25" s="7">
        <f>Tabla6[[#This Row],[Costo unitario]]*Tabla6[[#This Row],[Total de uni/vendi]]</f>
        <v>3325</v>
      </c>
      <c r="AA25" s="7">
        <f>Tabla6[[#This Row],[Precio de venta ]]*Tabla6[[#This Row],[Total de uni/vendi]]-Tabla6[[#This Row],[Descuento]]</f>
        <v>5110</v>
      </c>
      <c r="AB25" s="7">
        <f>Tabla6[[#This Row],[Ventas totales]]-Tabla6[[#This Row],[Costo]]</f>
        <v>1785</v>
      </c>
      <c r="AC25" s="7">
        <f>Tabla6[[#This Row],[Utilidad]]-Tabla6[[#This Row],[Descuento]]</f>
        <v>1765</v>
      </c>
    </row>
    <row r="26" spans="1:29">
      <c r="A26" s="3" t="s">
        <v>36</v>
      </c>
      <c r="B26" s="3" t="s">
        <v>7</v>
      </c>
      <c r="C26" s="5" t="s">
        <v>53</v>
      </c>
      <c r="D26">
        <v>4</v>
      </c>
      <c r="F26">
        <v>1</v>
      </c>
      <c r="I26">
        <v>1</v>
      </c>
      <c r="L26">
        <v>1</v>
      </c>
      <c r="M26">
        <v>4</v>
      </c>
      <c r="N26">
        <v>2</v>
      </c>
      <c r="O26">
        <v>1</v>
      </c>
      <c r="Q26">
        <v>1</v>
      </c>
      <c r="R26">
        <v>2</v>
      </c>
      <c r="S26">
        <v>1</v>
      </c>
      <c r="T26">
        <v>4</v>
      </c>
      <c r="U26">
        <f>SUM(Tabla6[[#This Row],[Ventas anteriores]:[13/04/2023]])</f>
        <v>22</v>
      </c>
      <c r="V26">
        <v>1</v>
      </c>
      <c r="W26">
        <f t="shared" si="1"/>
        <v>20</v>
      </c>
      <c r="X26" s="7">
        <f>VLOOKUP(Tabla6[[#This Row],[Tipo ]],$A$3:$D$5,3,0)</f>
        <v>175</v>
      </c>
      <c r="Y26" s="7">
        <f>VLOOKUP(Tabla6[[#This Row],[Tipo ]],$A$3:$D$5,4,0)</f>
        <v>270</v>
      </c>
      <c r="Z26" s="7">
        <f>Tabla6[[#This Row],[Costo unitario]]*Tabla6[[#This Row],[Total de uni/vendi]]</f>
        <v>3850</v>
      </c>
      <c r="AA26" s="7">
        <f>Tabla6[[#This Row],[Precio de venta ]]*Tabla6[[#This Row],[Total de uni/vendi]]-Tabla6[[#This Row],[Descuento]]</f>
        <v>5920</v>
      </c>
      <c r="AB26" s="7">
        <f>Tabla6[[#This Row],[Ventas totales]]-Tabla6[[#This Row],[Costo]]</f>
        <v>2070</v>
      </c>
      <c r="AC26" s="7">
        <f>Tabla6[[#This Row],[Utilidad]]-Tabla6[[#This Row],[Descuento]]</f>
        <v>2050</v>
      </c>
    </row>
    <row r="27" spans="1:29">
      <c r="A27" s="3" t="s">
        <v>36</v>
      </c>
      <c r="B27" s="3" t="s">
        <v>7</v>
      </c>
      <c r="C27" s="5" t="s">
        <v>54</v>
      </c>
      <c r="D27">
        <v>7</v>
      </c>
      <c r="E27">
        <v>1</v>
      </c>
      <c r="H27">
        <v>1</v>
      </c>
      <c r="L27">
        <v>3</v>
      </c>
      <c r="M27">
        <v>1</v>
      </c>
      <c r="N27">
        <v>1</v>
      </c>
      <c r="O27">
        <v>2</v>
      </c>
      <c r="P27">
        <v>3</v>
      </c>
      <c r="Q27">
        <v>1</v>
      </c>
      <c r="R27">
        <v>1</v>
      </c>
      <c r="S27">
        <v>1</v>
      </c>
      <c r="T27">
        <v>2</v>
      </c>
      <c r="U27">
        <f>SUM(Tabla6[[#This Row],[Ventas anteriores]:[13/04/2023]])</f>
        <v>24</v>
      </c>
      <c r="V27">
        <v>2</v>
      </c>
      <c r="W27">
        <f t="shared" si="1"/>
        <v>40</v>
      </c>
      <c r="X27" s="7">
        <f>VLOOKUP(Tabla6[[#This Row],[Tipo ]],$A$3:$D$5,3,0)</f>
        <v>175</v>
      </c>
      <c r="Y27" s="7">
        <f>VLOOKUP(Tabla6[[#This Row],[Tipo ]],$A$3:$D$5,4,0)</f>
        <v>270</v>
      </c>
      <c r="Z27" s="7">
        <f>Tabla6[[#This Row],[Costo unitario]]*Tabla6[[#This Row],[Total de uni/vendi]]</f>
        <v>4200</v>
      </c>
      <c r="AA27" s="7">
        <f>Tabla6[[#This Row],[Precio de venta ]]*Tabla6[[#This Row],[Total de uni/vendi]]-Tabla6[[#This Row],[Descuento]]</f>
        <v>6440</v>
      </c>
      <c r="AB27" s="7">
        <f>Tabla6[[#This Row],[Ventas totales]]-Tabla6[[#This Row],[Costo]]</f>
        <v>2240</v>
      </c>
      <c r="AC27" s="7">
        <f>Tabla6[[#This Row],[Utilidad]]-Tabla6[[#This Row],[Descuento]]</f>
        <v>2200</v>
      </c>
    </row>
    <row r="28" spans="1:29">
      <c r="A28" s="3" t="s">
        <v>36</v>
      </c>
      <c r="B28" s="3" t="s">
        <v>7</v>
      </c>
      <c r="C28" s="5" t="s">
        <v>55</v>
      </c>
      <c r="D28">
        <v>3</v>
      </c>
      <c r="M28">
        <v>1</v>
      </c>
      <c r="N28">
        <v>1</v>
      </c>
      <c r="P28">
        <v>3</v>
      </c>
      <c r="R28">
        <v>1</v>
      </c>
      <c r="T28">
        <v>3</v>
      </c>
      <c r="U28">
        <f>SUM(Tabla6[[#This Row],[Ventas anteriores]:[13/04/2023]])</f>
        <v>12</v>
      </c>
      <c r="W28">
        <f t="shared" si="1"/>
        <v>0</v>
      </c>
      <c r="X28" s="7">
        <f>VLOOKUP(Tabla6[[#This Row],[Tipo ]],$A$3:$D$5,3,0)</f>
        <v>175</v>
      </c>
      <c r="Y28" s="7">
        <f>VLOOKUP(Tabla6[[#This Row],[Tipo ]],$A$3:$D$5,4,0)</f>
        <v>270</v>
      </c>
      <c r="Z28" s="7">
        <f>Tabla6[[#This Row],[Costo unitario]]*Tabla6[[#This Row],[Total de uni/vendi]]</f>
        <v>2100</v>
      </c>
      <c r="AA28" s="7">
        <f>Tabla6[[#This Row],[Precio de venta ]]*Tabla6[[#This Row],[Total de uni/vendi]]-Tabla6[[#This Row],[Descuento]]</f>
        <v>3240</v>
      </c>
      <c r="AB28" s="7">
        <f>Tabla6[[#This Row],[Ventas totales]]-Tabla6[[#This Row],[Costo]]</f>
        <v>1140</v>
      </c>
      <c r="AC28" s="7">
        <f>Tabla6[[#This Row],[Utilidad]]-Tabla6[[#This Row],[Descuento]]</f>
        <v>1140</v>
      </c>
    </row>
    <row r="29" spans="1:29">
      <c r="A29" s="3" t="s">
        <v>36</v>
      </c>
      <c r="B29" s="3" t="s">
        <v>7</v>
      </c>
      <c r="C29" s="5" t="s">
        <v>37</v>
      </c>
      <c r="D29">
        <v>1</v>
      </c>
      <c r="H29">
        <v>1</v>
      </c>
      <c r="I29">
        <v>2</v>
      </c>
      <c r="L29">
        <v>1</v>
      </c>
      <c r="M29">
        <v>2</v>
      </c>
      <c r="N29">
        <v>2</v>
      </c>
      <c r="P29">
        <v>1</v>
      </c>
      <c r="R29">
        <v>1</v>
      </c>
      <c r="T29">
        <v>3</v>
      </c>
      <c r="U29">
        <f>SUM(Tabla6[[#This Row],[Ventas anteriores]:[13/04/2023]])</f>
        <v>14</v>
      </c>
      <c r="V29">
        <v>2</v>
      </c>
      <c r="W29">
        <f t="shared" si="1"/>
        <v>40</v>
      </c>
      <c r="X29" s="7">
        <f>VLOOKUP(Tabla6[[#This Row],[Tipo ]],$A$3:$D$5,3,0)</f>
        <v>175</v>
      </c>
      <c r="Y29" s="7">
        <f>VLOOKUP(Tabla6[[#This Row],[Tipo ]],$A$3:$D$5,4,0)</f>
        <v>270</v>
      </c>
      <c r="Z29" s="7">
        <f>Tabla6[[#This Row],[Costo unitario]]*Tabla6[[#This Row],[Total de uni/vendi]]</f>
        <v>2450</v>
      </c>
      <c r="AA29" s="7">
        <f>Tabla6[[#This Row],[Precio de venta ]]*Tabla6[[#This Row],[Total de uni/vendi]]-Tabla6[[#This Row],[Descuento]]</f>
        <v>3740</v>
      </c>
      <c r="AB29" s="7">
        <f>Tabla6[[#This Row],[Ventas totales]]-Tabla6[[#This Row],[Costo]]</f>
        <v>1290</v>
      </c>
      <c r="AC29" s="7">
        <f>Tabla6[[#This Row],[Utilidad]]-Tabla6[[#This Row],[Descuento]]</f>
        <v>1250</v>
      </c>
    </row>
    <row r="30" spans="1:29">
      <c r="A30" s="3" t="s">
        <v>36</v>
      </c>
      <c r="B30" s="3" t="s">
        <v>7</v>
      </c>
      <c r="C30" s="5" t="s">
        <v>56</v>
      </c>
      <c r="D30">
        <v>1</v>
      </c>
      <c r="H30">
        <v>3</v>
      </c>
      <c r="N30">
        <v>2</v>
      </c>
      <c r="O30">
        <v>1</v>
      </c>
      <c r="P30">
        <v>1</v>
      </c>
      <c r="Q30">
        <v>1</v>
      </c>
      <c r="S30">
        <v>3</v>
      </c>
      <c r="T30">
        <v>6</v>
      </c>
      <c r="U30">
        <f>SUM(Tabla6[[#This Row],[Ventas anteriores]:[13/04/2023]])</f>
        <v>18</v>
      </c>
      <c r="W30">
        <f t="shared" si="1"/>
        <v>0</v>
      </c>
      <c r="X30" s="7">
        <f>VLOOKUP(Tabla6[[#This Row],[Tipo ]],$A$3:$D$5,3,0)</f>
        <v>175</v>
      </c>
      <c r="Y30" s="7">
        <f>VLOOKUP(Tabla6[[#This Row],[Tipo ]],$A$3:$D$5,4,0)</f>
        <v>270</v>
      </c>
      <c r="Z30" s="7">
        <f>Tabla6[[#This Row],[Costo unitario]]*Tabla6[[#This Row],[Total de uni/vendi]]</f>
        <v>3150</v>
      </c>
      <c r="AA30" s="7">
        <f>Tabla6[[#This Row],[Precio de venta ]]*Tabla6[[#This Row],[Total de uni/vendi]]-Tabla6[[#This Row],[Descuento]]</f>
        <v>4860</v>
      </c>
      <c r="AB30" s="7">
        <f>Tabla6[[#This Row],[Ventas totales]]-Tabla6[[#This Row],[Costo]]</f>
        <v>1710</v>
      </c>
      <c r="AC30" s="7">
        <f>Tabla6[[#This Row],[Utilidad]]-Tabla6[[#This Row],[Descuento]]</f>
        <v>1710</v>
      </c>
    </row>
    <row r="31" spans="1:29">
      <c r="A31" s="3" t="s">
        <v>36</v>
      </c>
      <c r="B31" s="3" t="s">
        <v>7</v>
      </c>
      <c r="C31" s="5" t="s">
        <v>57</v>
      </c>
      <c r="L31">
        <v>3</v>
      </c>
      <c r="O31">
        <v>1</v>
      </c>
      <c r="U31">
        <f>SUM(Tabla6[[#This Row],[Ventas anteriores]:[13/04/2023]])</f>
        <v>4</v>
      </c>
      <c r="V31">
        <v>1</v>
      </c>
      <c r="W31">
        <f t="shared" si="1"/>
        <v>20</v>
      </c>
      <c r="X31" s="7">
        <f>VLOOKUP(Tabla6[[#This Row],[Tipo ]],$A$3:$D$5,3,0)</f>
        <v>175</v>
      </c>
      <c r="Y31" s="7">
        <f>VLOOKUP(Tabla6[[#This Row],[Tipo ]],$A$3:$D$5,4,0)</f>
        <v>270</v>
      </c>
      <c r="Z31" s="7">
        <f>Tabla6[[#This Row],[Costo unitario]]*Tabla6[[#This Row],[Total de uni/vendi]]</f>
        <v>700</v>
      </c>
      <c r="AA31" s="7">
        <f>Tabla6[[#This Row],[Precio de venta ]]*Tabla6[[#This Row],[Total de uni/vendi]]-Tabla6[[#This Row],[Descuento]]</f>
        <v>1060</v>
      </c>
      <c r="AB31" s="7">
        <f>Tabla6[[#This Row],[Ventas totales]]-Tabla6[[#This Row],[Costo]]</f>
        <v>360</v>
      </c>
      <c r="AC31" s="7">
        <f>Tabla6[[#This Row],[Utilidad]]-Tabla6[[#This Row],[Descuento]]</f>
        <v>340</v>
      </c>
    </row>
    <row r="32" spans="1:29">
      <c r="A32" s="3" t="s">
        <v>36</v>
      </c>
      <c r="B32" s="3" t="s">
        <v>7</v>
      </c>
      <c r="C32" s="5" t="s">
        <v>58</v>
      </c>
      <c r="L32">
        <v>4</v>
      </c>
      <c r="N32">
        <v>1</v>
      </c>
      <c r="T32">
        <v>2</v>
      </c>
      <c r="U32">
        <f>SUM(Tabla6[[#This Row],[Ventas anteriores]:[13/04/2023]])</f>
        <v>7</v>
      </c>
      <c r="V32">
        <v>1</v>
      </c>
      <c r="W32">
        <f t="shared" si="1"/>
        <v>20</v>
      </c>
      <c r="X32" s="7">
        <f>VLOOKUP(Tabla6[[#This Row],[Tipo ]],$A$3:$D$5,3,0)</f>
        <v>175</v>
      </c>
      <c r="Y32" s="7">
        <f>VLOOKUP(Tabla6[[#This Row],[Tipo ]],$A$3:$D$5,4,0)</f>
        <v>270</v>
      </c>
      <c r="Z32" s="7">
        <f>Tabla6[[#This Row],[Costo unitario]]*Tabla6[[#This Row],[Total de uni/vendi]]</f>
        <v>1225</v>
      </c>
      <c r="AA32" s="7">
        <f>Tabla6[[#This Row],[Precio de venta ]]*Tabla6[[#This Row],[Total de uni/vendi]]-Tabla6[[#This Row],[Descuento]]</f>
        <v>1870</v>
      </c>
      <c r="AB32" s="7">
        <f>Tabla6[[#This Row],[Ventas totales]]-Tabla6[[#This Row],[Costo]]</f>
        <v>645</v>
      </c>
      <c r="AC32" s="7">
        <f>Tabla6[[#This Row],[Utilidad]]-Tabla6[[#This Row],[Descuento]]</f>
        <v>625</v>
      </c>
    </row>
    <row r="33" spans="1:29">
      <c r="A33" s="3" t="s">
        <v>36</v>
      </c>
      <c r="B33" s="3" t="s">
        <v>7</v>
      </c>
      <c r="C33" t="s">
        <v>59</v>
      </c>
      <c r="M33">
        <v>1</v>
      </c>
      <c r="U33">
        <f>SUM(Tabla6[[#This Row],[Ventas anteriores]:[13/04/2023]])</f>
        <v>1</v>
      </c>
      <c r="V33">
        <v>1</v>
      </c>
      <c r="W33">
        <f>IF(ISBLANK(V33),0,V33*20)</f>
        <v>20</v>
      </c>
      <c r="X33" s="7">
        <f>VLOOKUP(Tabla6[[#This Row],[Tipo ]],$A$3:$D$5,3,0)</f>
        <v>175</v>
      </c>
      <c r="Y33" s="7">
        <f>VLOOKUP(Tabla6[[#This Row],[Tipo ]],$A$3:$D$5,4,0)</f>
        <v>270</v>
      </c>
      <c r="Z33" s="7">
        <f>Tabla6[[#This Row],[Costo unitario]]*Tabla6[[#This Row],[Total de uni/vendi]]</f>
        <v>175</v>
      </c>
      <c r="AA33" s="7">
        <f>Tabla6[[#This Row],[Precio de venta ]]*Tabla6[[#This Row],[Total de uni/vendi]]-Tabla6[[#This Row],[Descuento]]</f>
        <v>250</v>
      </c>
      <c r="AB33" s="7">
        <f>Tabla6[[#This Row],[Ventas totales]]-Tabla6[[#This Row],[Costo]]</f>
        <v>75</v>
      </c>
      <c r="AC33" s="7">
        <f>Tabla6[[#This Row],[Utilidad]]-Tabla6[[#This Row],[Descuento]]</f>
        <v>55</v>
      </c>
    </row>
    <row r="34" spans="1:29">
      <c r="A34" s="3" t="s">
        <v>36</v>
      </c>
      <c r="B34" s="3" t="s">
        <v>7</v>
      </c>
      <c r="C34" s="5" t="s">
        <v>60</v>
      </c>
      <c r="D34">
        <v>5</v>
      </c>
      <c r="E34">
        <v>1</v>
      </c>
      <c r="F34">
        <v>1</v>
      </c>
      <c r="L34">
        <v>1</v>
      </c>
      <c r="M34">
        <v>2</v>
      </c>
      <c r="N34">
        <v>5</v>
      </c>
      <c r="O34">
        <v>1</v>
      </c>
      <c r="T34">
        <v>1</v>
      </c>
      <c r="U34">
        <f>SUM(Tabla6[[#This Row],[Ventas anteriores]:[13/04/2023]])</f>
        <v>17</v>
      </c>
      <c r="W34">
        <f t="shared" si="1"/>
        <v>0</v>
      </c>
      <c r="X34" s="7">
        <f>VLOOKUP(Tabla6[[#This Row],[Tipo ]],$A$3:$D$5,3,0)</f>
        <v>175</v>
      </c>
      <c r="Y34" s="7">
        <f>VLOOKUP(Tabla6[[#This Row],[Tipo ]],$A$3:$D$5,4,0)</f>
        <v>270</v>
      </c>
      <c r="Z34" s="7">
        <f>Tabla6[[#This Row],[Costo unitario]]*Tabla6[[#This Row],[Total de uni/vendi]]</f>
        <v>2975</v>
      </c>
      <c r="AA34" s="7">
        <f>Tabla6[[#This Row],[Precio de venta ]]*Tabla6[[#This Row],[Total de uni/vendi]]-Tabla6[[#This Row],[Descuento]]</f>
        <v>4590</v>
      </c>
      <c r="AB34" s="7">
        <f>Tabla6[[#This Row],[Ventas totales]]-Tabla6[[#This Row],[Costo]]</f>
        <v>1615</v>
      </c>
      <c r="AC34" s="7">
        <f>Tabla6[[#This Row],[Utilidad]]-Tabla6[[#This Row],[Descuento]]</f>
        <v>1615</v>
      </c>
    </row>
    <row r="35" spans="1:29" ht="15.75">
      <c r="A35" s="3"/>
      <c r="B35" s="3"/>
      <c r="C35" s="5"/>
      <c r="D35">
        <f>SUBTOTAL(109,Tabla6[Ventas anteriores])</f>
        <v>111</v>
      </c>
      <c r="E35">
        <f>SUBTOTAL(109,Tabla6[28/03/2022])</f>
        <v>5</v>
      </c>
      <c r="F35">
        <f>SUBTOTAL(109,Tabla6[29/03/2022])</f>
        <v>7</v>
      </c>
      <c r="G35">
        <f>SUBTOTAL(109,Tabla6[30/03/2022])</f>
        <v>0</v>
      </c>
      <c r="H35">
        <f>SUBTOTAL(109,Tabla6[31/03/2022])</f>
        <v>14</v>
      </c>
      <c r="I35">
        <f>SUBTOTAL(109,Tabla6[01/04/2022])</f>
        <v>9</v>
      </c>
      <c r="J35">
        <f>SUBTOTAL(109,Tabla6[02/04/2022])</f>
        <v>0</v>
      </c>
      <c r="K35">
        <f>SUBTOTAL(109,Tabla6[03/04/2022])</f>
        <v>2</v>
      </c>
      <c r="L35">
        <f>SUBTOTAL(109,Tabla6[04/04/2022])</f>
        <v>28</v>
      </c>
      <c r="T35">
        <f>SUBTOTAL(109,Tabla6[13/04/2023])</f>
        <v>26</v>
      </c>
      <c r="U35">
        <f>SUBTOTAL(109,Tabla6[Total de uni/vendi])</f>
        <v>296</v>
      </c>
      <c r="V35">
        <f>SUBTOTAL(109,Tabla6[Promocion])</f>
        <v>15</v>
      </c>
      <c r="W35">
        <f>SUBTOTAL(109,Tabla6[Descuento])</f>
        <v>320</v>
      </c>
      <c r="X35" s="9"/>
      <c r="Y35" s="9"/>
      <c r="Z35" s="9">
        <f>SUBTOTAL(109,Tabla6[Costo])</f>
        <v>46430</v>
      </c>
      <c r="AA35" s="9">
        <f>SUBTOTAL(109,Tabla6[Ventas totales])</f>
        <v>72670</v>
      </c>
      <c r="AB35" s="9">
        <f>SUBTOTAL(109,Tabla6[Utilidad])</f>
        <v>26240</v>
      </c>
      <c r="AC35" s="9">
        <f>SUM(Tabla6[Utilidad Neta])</f>
        <v>25920</v>
      </c>
    </row>
  </sheetData>
  <phoneticPr fontId="18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92DE9-E403-4217-95A6-3DC8CDAAC956}">
  <sheetPr codeName="Hoja10"/>
  <dimension ref="A1:A11"/>
  <sheetViews>
    <sheetView workbookViewId="0">
      <selection activeCell="A12" sqref="A12"/>
    </sheetView>
  </sheetViews>
  <sheetFormatPr defaultColWidth="11.109375" defaultRowHeight="13.5"/>
  <sheetData>
    <row r="1" spans="1:1">
      <c r="A1" t="s">
        <v>157</v>
      </c>
    </row>
    <row r="2" spans="1:1">
      <c r="A2" t="s">
        <v>158</v>
      </c>
    </row>
    <row r="3" spans="1:1">
      <c r="A3" t="s">
        <v>159</v>
      </c>
    </row>
    <row r="4" spans="1:1">
      <c r="A4" t="s">
        <v>160</v>
      </c>
    </row>
    <row r="5" spans="1:1">
      <c r="A5" t="s">
        <v>161</v>
      </c>
    </row>
    <row r="6" spans="1:1">
      <c r="A6" t="s">
        <v>162</v>
      </c>
    </row>
    <row r="8" spans="1:1">
      <c r="A8" t="s">
        <v>163</v>
      </c>
    </row>
    <row r="9" spans="1:1">
      <c r="A9" t="s">
        <v>164</v>
      </c>
    </row>
    <row r="10" spans="1:1">
      <c r="A10" t="s">
        <v>165</v>
      </c>
    </row>
    <row r="11" spans="1:1">
      <c r="A11" t="s">
        <v>166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95E04-65CE-4D90-93CA-B00DCF8D9EFB}">
  <sheetPr codeName="Hoja9"/>
  <dimension ref="A1:T19"/>
  <sheetViews>
    <sheetView topLeftCell="C1" zoomScale="70" zoomScaleNormal="70" workbookViewId="0">
      <selection activeCell="T12" sqref="T12"/>
    </sheetView>
  </sheetViews>
  <sheetFormatPr defaultColWidth="11.109375" defaultRowHeight="13.5"/>
  <cols>
    <col min="4" max="4" width="16.109375" bestFit="1" customWidth="1"/>
    <col min="5" max="5" width="12.6640625" customWidth="1"/>
    <col min="6" max="13" width="12.6640625" hidden="1" customWidth="1"/>
    <col min="15" max="15" width="15.44140625" bestFit="1" customWidth="1"/>
    <col min="16" max="16" width="14.109375" customWidth="1"/>
    <col min="18" max="18" width="18.5546875" customWidth="1"/>
    <col min="20" max="20" width="13" customWidth="1"/>
  </cols>
  <sheetData>
    <row r="1" spans="1:20">
      <c r="A1" t="s">
        <v>0</v>
      </c>
    </row>
    <row r="2" spans="1:20">
      <c r="A2" t="s">
        <v>1</v>
      </c>
      <c r="B2" t="s">
        <v>2</v>
      </c>
      <c r="C2" t="s">
        <v>3</v>
      </c>
      <c r="D2" t="s">
        <v>4</v>
      </c>
    </row>
    <row r="3" spans="1:20">
      <c r="A3" s="3" t="s">
        <v>5</v>
      </c>
      <c r="B3" s="3" t="s">
        <v>6</v>
      </c>
      <c r="C3" s="3">
        <v>115</v>
      </c>
      <c r="D3">
        <v>190</v>
      </c>
    </row>
    <row r="4" spans="1:20">
      <c r="A4" s="3" t="s">
        <v>7</v>
      </c>
      <c r="B4" s="3" t="s">
        <v>6</v>
      </c>
      <c r="C4" s="3">
        <v>145</v>
      </c>
      <c r="D4">
        <v>270</v>
      </c>
    </row>
    <row r="5" spans="1:20">
      <c r="A5" s="3" t="s">
        <v>8</v>
      </c>
      <c r="B5" s="3" t="s">
        <v>9</v>
      </c>
      <c r="C5" s="3">
        <v>150</v>
      </c>
      <c r="D5">
        <v>275</v>
      </c>
    </row>
    <row r="6" spans="1:20">
      <c r="A6" t="s">
        <v>61</v>
      </c>
      <c r="B6" s="51" t="s">
        <v>2</v>
      </c>
      <c r="C6" s="52" t="s">
        <v>10</v>
      </c>
      <c r="D6" s="52" t="s">
        <v>11</v>
      </c>
      <c r="E6" s="53" t="s">
        <v>62</v>
      </c>
      <c r="F6" s="53" t="s">
        <v>13</v>
      </c>
      <c r="G6" s="53" t="s">
        <v>14</v>
      </c>
      <c r="H6" s="53" t="s">
        <v>15</v>
      </c>
      <c r="I6" s="53" t="s">
        <v>16</v>
      </c>
      <c r="J6" s="53" t="s">
        <v>17</v>
      </c>
      <c r="K6" s="53" t="s">
        <v>18</v>
      </c>
      <c r="L6" s="53" t="s">
        <v>19</v>
      </c>
      <c r="M6" s="53" t="s">
        <v>20</v>
      </c>
      <c r="N6" s="52" t="s">
        <v>30</v>
      </c>
      <c r="O6" s="53" t="s">
        <v>4</v>
      </c>
      <c r="P6" s="53" t="s">
        <v>33</v>
      </c>
      <c r="R6" t="s">
        <v>63</v>
      </c>
      <c r="S6" t="s">
        <v>64</v>
      </c>
      <c r="T6" t="s">
        <v>65</v>
      </c>
    </row>
    <row r="7" spans="1:20">
      <c r="B7" s="54" t="s">
        <v>36</v>
      </c>
      <c r="C7" s="55" t="s">
        <v>7</v>
      </c>
      <c r="D7" s="56" t="s">
        <v>41</v>
      </c>
      <c r="E7" s="57">
        <v>10</v>
      </c>
      <c r="F7" s="57"/>
      <c r="G7" s="57"/>
      <c r="H7" s="57"/>
      <c r="I7" s="57"/>
      <c r="J7" s="57"/>
      <c r="K7" s="57"/>
      <c r="L7" s="57"/>
      <c r="M7" s="57"/>
      <c r="N7" s="57" t="s">
        <v>66</v>
      </c>
      <c r="O7" s="58">
        <f>_xlfn.IFNA(VLOOKUP('Ventas como provedor Marzo '!$N7,Tabla11[],3,0),"")</f>
        <v>170</v>
      </c>
      <c r="P7" s="58">
        <f>IFERROR('Ventas como provedor Marzo '!$O7*'Ventas como provedor Marzo '!$E7,"")</f>
        <v>1700</v>
      </c>
      <c r="R7" t="s">
        <v>67</v>
      </c>
      <c r="S7" t="s">
        <v>68</v>
      </c>
      <c r="T7" s="8">
        <v>195</v>
      </c>
    </row>
    <row r="8" spans="1:20">
      <c r="B8" s="59" t="s">
        <v>36</v>
      </c>
      <c r="C8" s="60" t="s">
        <v>7</v>
      </c>
      <c r="D8" s="61" t="s">
        <v>50</v>
      </c>
      <c r="E8" s="62">
        <v>10</v>
      </c>
      <c r="F8" s="62"/>
      <c r="G8" s="62"/>
      <c r="H8" s="62"/>
      <c r="I8" s="62"/>
      <c r="J8" s="62"/>
      <c r="K8" s="62"/>
      <c r="L8" s="62"/>
      <c r="M8" s="62"/>
      <c r="N8" s="62" t="s">
        <v>66</v>
      </c>
      <c r="O8" s="63">
        <f>_xlfn.IFNA(VLOOKUP('Ventas como provedor Marzo '!$N8,Tabla11[],3,0),"")</f>
        <v>170</v>
      </c>
      <c r="P8" s="63">
        <f>IFERROR('Ventas como provedor Marzo '!$O8*'Ventas como provedor Marzo '!$E8,"")</f>
        <v>1700</v>
      </c>
      <c r="R8" t="s">
        <v>69</v>
      </c>
      <c r="S8" t="s">
        <v>70</v>
      </c>
      <c r="T8" s="8">
        <v>185</v>
      </c>
    </row>
    <row r="9" spans="1:20">
      <c r="B9" s="54" t="s">
        <v>36</v>
      </c>
      <c r="C9" s="55" t="s">
        <v>7</v>
      </c>
      <c r="D9" s="56" t="s">
        <v>51</v>
      </c>
      <c r="E9" s="57">
        <v>10</v>
      </c>
      <c r="F9" s="57"/>
      <c r="G9" s="57"/>
      <c r="H9" s="57"/>
      <c r="I9" s="57"/>
      <c r="J9" s="57"/>
      <c r="K9" s="57"/>
      <c r="L9" s="57"/>
      <c r="M9" s="57"/>
      <c r="N9" s="57" t="s">
        <v>66</v>
      </c>
      <c r="O9" s="58">
        <f>_xlfn.IFNA(VLOOKUP('Ventas como provedor Marzo '!$N9,Tabla11[],3,0),"")</f>
        <v>170</v>
      </c>
      <c r="P9" s="58">
        <f>IFERROR('Ventas como provedor Marzo '!$O9*'Ventas como provedor Marzo '!$E9,"")</f>
        <v>1700</v>
      </c>
      <c r="R9" t="s">
        <v>71</v>
      </c>
      <c r="S9" t="s">
        <v>72</v>
      </c>
      <c r="T9" s="8">
        <v>180</v>
      </c>
    </row>
    <row r="10" spans="1:20">
      <c r="B10" s="59" t="s">
        <v>36</v>
      </c>
      <c r="C10" s="60" t="s">
        <v>7</v>
      </c>
      <c r="D10" s="61" t="s">
        <v>54</v>
      </c>
      <c r="E10" s="62">
        <v>10</v>
      </c>
      <c r="F10" s="62"/>
      <c r="G10" s="62"/>
      <c r="H10" s="62"/>
      <c r="I10" s="62"/>
      <c r="J10" s="62"/>
      <c r="K10" s="62"/>
      <c r="L10" s="62"/>
      <c r="M10" s="62"/>
      <c r="N10" s="62" t="s">
        <v>66</v>
      </c>
      <c r="O10" s="63">
        <f>_xlfn.IFNA(VLOOKUP('Ventas como provedor Marzo '!$N10,Tabla11[],3,0),"")</f>
        <v>170</v>
      </c>
      <c r="P10" s="63">
        <f>IFERROR('Ventas como provedor Marzo '!$O10*'Ventas como provedor Marzo '!$E10,"")</f>
        <v>1700</v>
      </c>
      <c r="R10" t="s">
        <v>73</v>
      </c>
      <c r="S10" t="s">
        <v>74</v>
      </c>
      <c r="T10" s="8">
        <v>175</v>
      </c>
    </row>
    <row r="11" spans="1:20">
      <c r="B11" s="54" t="s">
        <v>36</v>
      </c>
      <c r="C11" s="55" t="s">
        <v>7</v>
      </c>
      <c r="D11" s="56" t="s">
        <v>56</v>
      </c>
      <c r="E11" s="57">
        <v>10</v>
      </c>
      <c r="F11" s="57"/>
      <c r="G11" s="57"/>
      <c r="H11" s="57"/>
      <c r="I11" s="57"/>
      <c r="J11" s="57"/>
      <c r="K11" s="57"/>
      <c r="L11" s="57"/>
      <c r="M11" s="57"/>
      <c r="N11" s="57" t="s">
        <v>66</v>
      </c>
      <c r="O11" s="58">
        <f>_xlfn.IFNA(VLOOKUP('Ventas como provedor Marzo '!$N11,Tabla11[],3,0),"")</f>
        <v>170</v>
      </c>
      <c r="P11" s="58">
        <f>IFERROR('Ventas como provedor Marzo '!$O11*'Ventas como provedor Marzo '!$E11,"")</f>
        <v>1700</v>
      </c>
      <c r="R11" t="s">
        <v>66</v>
      </c>
      <c r="S11" t="s">
        <v>75</v>
      </c>
      <c r="T11" s="8">
        <v>170</v>
      </c>
    </row>
    <row r="12" spans="1:20">
      <c r="B12" s="59"/>
      <c r="C12" s="60"/>
      <c r="D12" s="61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3" t="str">
        <f>_xlfn.IFNA(VLOOKUP('Ventas como provedor Marzo '!$N12,Tabla11[],3,0),"")</f>
        <v/>
      </c>
      <c r="P12" s="63" t="str">
        <f>IFERROR('Ventas como provedor Marzo '!$O12*'Ventas como provedor Marzo '!$E12,"")</f>
        <v/>
      </c>
    </row>
    <row r="13" spans="1:20">
      <c r="B13" s="54"/>
      <c r="C13" s="55"/>
      <c r="D13" s="56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8" t="str">
        <f>_xlfn.IFNA(VLOOKUP('Ventas como provedor Marzo '!$N13,Tabla11[],3,0),"")</f>
        <v/>
      </c>
      <c r="P13" s="58" t="str">
        <f>IFERROR('Ventas como provedor Marzo '!$O13*'Ventas como provedor Marzo '!$E13,"")</f>
        <v/>
      </c>
    </row>
    <row r="14" spans="1:20">
      <c r="B14" s="59"/>
      <c r="C14" s="60"/>
      <c r="D14" s="61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3" t="str">
        <f>_xlfn.IFNA(VLOOKUP('Ventas como provedor Marzo '!$N14,Tabla11[],3,0),"")</f>
        <v/>
      </c>
      <c r="P14" s="63" t="str">
        <f>IFERROR('Ventas como provedor Marzo '!$O14*'Ventas como provedor Marzo '!$E14,"")</f>
        <v/>
      </c>
    </row>
    <row r="15" spans="1:20">
      <c r="B15" s="54"/>
      <c r="C15" s="55"/>
      <c r="D15" s="56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8" t="str">
        <f>_xlfn.IFNA(VLOOKUP('Ventas como provedor Marzo '!$N15,Tabla11[],3,0),"")</f>
        <v/>
      </c>
      <c r="P15" s="58" t="str">
        <f>IFERROR('Ventas como provedor Marzo '!$O15*'Ventas como provedor Marzo '!$E15,"")</f>
        <v/>
      </c>
    </row>
    <row r="16" spans="1:20">
      <c r="B16" s="59"/>
      <c r="C16" s="60"/>
      <c r="D16" s="61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3" t="str">
        <f>_xlfn.IFNA(VLOOKUP('Ventas como provedor Marzo '!$N16,Tabla11[],3,0),"")</f>
        <v/>
      </c>
      <c r="P16" s="63" t="str">
        <f>IFERROR('Ventas como provedor Marzo '!$O16*'Ventas como provedor Marzo '!$E16,"")</f>
        <v/>
      </c>
    </row>
    <row r="17" spans="2:16">
      <c r="B17" s="54"/>
      <c r="C17" s="55"/>
      <c r="D17" s="56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8" t="str">
        <f>_xlfn.IFNA(VLOOKUP('Ventas como provedor Marzo '!$N17,Tabla11[],3,0),"")</f>
        <v/>
      </c>
      <c r="P17" s="58" t="str">
        <f>IFERROR('Ventas como provedor Marzo '!$O17*'Ventas como provedor Marzo '!$E17,"")</f>
        <v/>
      </c>
    </row>
    <row r="18" spans="2:16" ht="14.25" thickBot="1">
      <c r="B18" s="59"/>
      <c r="C18" s="60"/>
      <c r="D18" s="61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3" t="str">
        <f>_xlfn.IFNA(VLOOKUP('Ventas como provedor Marzo '!$N18,Tabla11[],3,0),"")</f>
        <v/>
      </c>
      <c r="P18" s="63" t="str">
        <f>IFERROR('Ventas como provedor Marzo '!$O18*'Ventas como provedor Marzo '!$E18,"")</f>
        <v/>
      </c>
    </row>
    <row r="19" spans="2:16" ht="14.25" thickTop="1">
      <c r="B19" s="64"/>
      <c r="C19" s="65"/>
      <c r="D19" s="66"/>
      <c r="E19" s="48">
        <f>SUM(E7:E18)</f>
        <v>50</v>
      </c>
      <c r="F19" s="48">
        <f>SUBTOTAL(109,'Ventas como provedor Marzo '!$F$7:$F$18)</f>
        <v>0</v>
      </c>
      <c r="G19" s="48">
        <f>SUBTOTAL(109,'Ventas como provedor Marzo '!$G$7:$G$18)</f>
        <v>0</v>
      </c>
      <c r="H19" s="48">
        <f>SUBTOTAL(109,'Ventas como provedor Marzo '!$H$7:$H$18)</f>
        <v>0</v>
      </c>
      <c r="I19" s="48">
        <f>SUBTOTAL(109,'Ventas como provedor Marzo '!$I$7:$I$18)</f>
        <v>0</v>
      </c>
      <c r="J19" s="48">
        <f>SUBTOTAL(109,'Ventas como provedor Marzo '!$J$7:$J$18)</f>
        <v>0</v>
      </c>
      <c r="K19" s="48">
        <f>SUBTOTAL(109,'Ventas como provedor Marzo '!$K$7:$K$18)</f>
        <v>0</v>
      </c>
      <c r="L19" s="48">
        <f>SUBTOTAL(109,'Ventas como provedor Marzo '!$L$7:$L$18)</f>
        <v>0</v>
      </c>
      <c r="M19" s="48">
        <f>SUBTOTAL(109,'Ventas como provedor Marzo '!$M$7:$M$18)</f>
        <v>0</v>
      </c>
      <c r="N19" s="48"/>
      <c r="O19" s="67"/>
      <c r="P19" s="67">
        <f>SUM(P7:P18)</f>
        <v>8500</v>
      </c>
    </row>
  </sheetData>
  <phoneticPr fontId="18" type="noConversion"/>
  <dataValidations count="1">
    <dataValidation type="list" allowBlank="1" showInputMessage="1" showErrorMessage="1" sqref="N7:N18" xr:uid="{3991E81C-6D95-4EB4-89ED-E5A4BB8F59E2}">
      <formula1>$R$7:$R$11</formula1>
    </dataValidation>
  </dataValidation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AA17C-EC85-4FC6-851B-33A0217A8114}">
  <sheetPr codeName="Hoja2"/>
  <dimension ref="A1:F111"/>
  <sheetViews>
    <sheetView topLeftCell="A88" zoomScale="85" zoomScaleNormal="85" workbookViewId="0">
      <selection activeCell="F102" sqref="F102"/>
    </sheetView>
  </sheetViews>
  <sheetFormatPr defaultColWidth="11.109375" defaultRowHeight="13.5"/>
  <cols>
    <col min="3" max="3" width="13.77734375" bestFit="1" customWidth="1"/>
    <col min="4" max="4" width="12.33203125" bestFit="1" customWidth="1"/>
  </cols>
  <sheetData>
    <row r="1" spans="1:5">
      <c r="A1" t="s">
        <v>76</v>
      </c>
    </row>
    <row r="3" spans="1:5">
      <c r="A3" s="3" t="s">
        <v>2</v>
      </c>
      <c r="B3" s="3" t="s">
        <v>1</v>
      </c>
      <c r="C3" s="3" t="s">
        <v>11</v>
      </c>
      <c r="D3" s="3" t="s">
        <v>62</v>
      </c>
    </row>
    <row r="4" spans="1:5">
      <c r="A4" s="3" t="s">
        <v>36</v>
      </c>
      <c r="B4" s="3" t="s">
        <v>5</v>
      </c>
      <c r="C4" s="4" t="s">
        <v>37</v>
      </c>
      <c r="D4" s="3">
        <v>1</v>
      </c>
      <c r="E4">
        <v>-1</v>
      </c>
    </row>
    <row r="5" spans="1:5">
      <c r="A5" s="3" t="s">
        <v>36</v>
      </c>
      <c r="B5" s="3" t="s">
        <v>5</v>
      </c>
      <c r="C5" s="4" t="s">
        <v>38</v>
      </c>
      <c r="D5" s="3">
        <v>2</v>
      </c>
    </row>
    <row r="6" spans="1:5">
      <c r="A6" s="3" t="s">
        <v>36</v>
      </c>
      <c r="B6" s="3" t="s">
        <v>5</v>
      </c>
      <c r="C6" s="4" t="s">
        <v>39</v>
      </c>
      <c r="D6" s="3">
        <v>2</v>
      </c>
    </row>
    <row r="7" spans="1:5">
      <c r="A7" s="3" t="s">
        <v>36</v>
      </c>
      <c r="B7" s="3" t="s">
        <v>5</v>
      </c>
      <c r="C7" s="4" t="s">
        <v>40</v>
      </c>
      <c r="D7" s="3">
        <v>2</v>
      </c>
    </row>
    <row r="8" spans="1:5">
      <c r="A8" s="3" t="s">
        <v>36</v>
      </c>
      <c r="B8" s="3" t="s">
        <v>5</v>
      </c>
      <c r="C8" s="4" t="s">
        <v>41</v>
      </c>
      <c r="D8" s="3">
        <v>2</v>
      </c>
    </row>
    <row r="9" spans="1:5">
      <c r="A9" s="3" t="s">
        <v>36</v>
      </c>
      <c r="B9" s="3" t="s">
        <v>5</v>
      </c>
      <c r="C9" s="4" t="s">
        <v>42</v>
      </c>
      <c r="D9" s="3">
        <v>2</v>
      </c>
    </row>
    <row r="10" spans="1:5">
      <c r="A10" s="3" t="s">
        <v>36</v>
      </c>
      <c r="B10" s="3" t="s">
        <v>5</v>
      </c>
      <c r="C10" s="4" t="s">
        <v>37</v>
      </c>
      <c r="D10" s="3">
        <v>5</v>
      </c>
    </row>
    <row r="11" spans="1:5">
      <c r="A11" s="3" t="s">
        <v>36</v>
      </c>
      <c r="B11" s="3" t="s">
        <v>5</v>
      </c>
      <c r="C11" s="4" t="s">
        <v>38</v>
      </c>
      <c r="D11" s="3">
        <v>3</v>
      </c>
    </row>
    <row r="12" spans="1:5">
      <c r="A12" s="3" t="s">
        <v>36</v>
      </c>
      <c r="B12" s="3" t="s">
        <v>5</v>
      </c>
      <c r="C12" s="4" t="s">
        <v>39</v>
      </c>
      <c r="D12" s="3">
        <v>3</v>
      </c>
    </row>
    <row r="13" spans="1:5">
      <c r="A13" s="3" t="s">
        <v>36</v>
      </c>
      <c r="B13" s="3" t="s">
        <v>5</v>
      </c>
      <c r="C13" s="4" t="s">
        <v>40</v>
      </c>
      <c r="D13" s="3">
        <v>3</v>
      </c>
    </row>
    <row r="14" spans="1:5">
      <c r="A14" s="3" t="s">
        <v>36</v>
      </c>
      <c r="B14" s="3" t="s">
        <v>5</v>
      </c>
      <c r="C14" s="4" t="s">
        <v>41</v>
      </c>
      <c r="D14" s="3">
        <v>3</v>
      </c>
    </row>
    <row r="15" spans="1:5">
      <c r="A15" s="3" t="s">
        <v>36</v>
      </c>
      <c r="B15" s="3" t="s">
        <v>5</v>
      </c>
      <c r="C15" s="4" t="s">
        <v>43</v>
      </c>
      <c r="D15" s="3">
        <v>2</v>
      </c>
    </row>
    <row r="16" spans="1:5">
      <c r="A16" s="3" t="s">
        <v>36</v>
      </c>
      <c r="B16" s="3" t="s">
        <v>5</v>
      </c>
      <c r="C16" s="4" t="s">
        <v>44</v>
      </c>
      <c r="D16" s="3">
        <v>2</v>
      </c>
    </row>
    <row r="17" spans="1:4">
      <c r="A17" s="3" t="s">
        <v>36</v>
      </c>
      <c r="B17" s="3" t="s">
        <v>5</v>
      </c>
      <c r="C17" s="4" t="s">
        <v>45</v>
      </c>
      <c r="D17" s="3">
        <v>1</v>
      </c>
    </row>
    <row r="18" spans="1:4">
      <c r="A18" s="3" t="s">
        <v>36</v>
      </c>
      <c r="B18" s="3" t="s">
        <v>5</v>
      </c>
      <c r="C18" s="4" t="s">
        <v>46</v>
      </c>
      <c r="D18" s="3">
        <v>1</v>
      </c>
    </row>
    <row r="19" spans="1:4">
      <c r="A19" s="3" t="s">
        <v>36</v>
      </c>
      <c r="B19" s="3" t="s">
        <v>5</v>
      </c>
      <c r="C19" s="4" t="s">
        <v>42</v>
      </c>
      <c r="D19" s="3">
        <v>2</v>
      </c>
    </row>
    <row r="20" spans="1:4">
      <c r="A20" s="3" t="s">
        <v>36</v>
      </c>
      <c r="B20" s="3" t="s">
        <v>5</v>
      </c>
      <c r="C20" s="4" t="s">
        <v>37</v>
      </c>
      <c r="D20" s="3">
        <v>3</v>
      </c>
    </row>
    <row r="21" spans="1:4">
      <c r="A21" s="3" t="s">
        <v>36</v>
      </c>
      <c r="B21" s="3" t="s">
        <v>5</v>
      </c>
      <c r="C21" s="4" t="s">
        <v>38</v>
      </c>
      <c r="D21" s="3">
        <v>2</v>
      </c>
    </row>
    <row r="22" spans="1:4">
      <c r="A22" s="3" t="s">
        <v>36</v>
      </c>
      <c r="B22" s="3" t="s">
        <v>5</v>
      </c>
      <c r="C22" s="4" t="s">
        <v>39</v>
      </c>
      <c r="D22" s="3">
        <v>2</v>
      </c>
    </row>
    <row r="23" spans="1:4">
      <c r="A23" s="3" t="s">
        <v>36</v>
      </c>
      <c r="B23" s="3" t="s">
        <v>5</v>
      </c>
      <c r="C23" s="4" t="s">
        <v>40</v>
      </c>
      <c r="D23" s="3">
        <v>5</v>
      </c>
    </row>
    <row r="24" spans="1:4">
      <c r="A24" s="3" t="s">
        <v>36</v>
      </c>
      <c r="B24" s="3" t="s">
        <v>5</v>
      </c>
      <c r="C24" s="4" t="s">
        <v>41</v>
      </c>
      <c r="D24" s="3">
        <v>2</v>
      </c>
    </row>
    <row r="25" spans="1:4">
      <c r="A25" s="3" t="s">
        <v>36</v>
      </c>
      <c r="B25" s="3" t="s">
        <v>5</v>
      </c>
      <c r="C25" s="4" t="s">
        <v>43</v>
      </c>
      <c r="D25" s="3">
        <v>2</v>
      </c>
    </row>
    <row r="26" spans="1:4">
      <c r="A26" s="3" t="s">
        <v>36</v>
      </c>
      <c r="B26" s="3" t="s">
        <v>5</v>
      </c>
      <c r="C26" s="4" t="s">
        <v>44</v>
      </c>
      <c r="D26" s="3">
        <v>2</v>
      </c>
    </row>
    <row r="27" spans="1:4">
      <c r="A27" s="3" t="s">
        <v>36</v>
      </c>
      <c r="B27" s="3" t="s">
        <v>5</v>
      </c>
      <c r="C27" s="4" t="s">
        <v>47</v>
      </c>
      <c r="D27" s="3">
        <v>1</v>
      </c>
    </row>
    <row r="28" spans="1:4">
      <c r="A28" s="3" t="s">
        <v>36</v>
      </c>
      <c r="B28" s="3" t="s">
        <v>5</v>
      </c>
      <c r="C28" s="4" t="s">
        <v>46</v>
      </c>
      <c r="D28" s="3">
        <v>4</v>
      </c>
    </row>
    <row r="29" spans="1:4">
      <c r="A29" s="3" t="s">
        <v>36</v>
      </c>
      <c r="B29" s="3" t="s">
        <v>5</v>
      </c>
      <c r="C29" s="4" t="s">
        <v>42</v>
      </c>
      <c r="D29" s="3">
        <v>2</v>
      </c>
    </row>
    <row r="30" spans="1:4">
      <c r="A30" s="3" t="s">
        <v>9</v>
      </c>
      <c r="B30" s="3" t="s">
        <v>8</v>
      </c>
      <c r="C30" s="5" t="s">
        <v>48</v>
      </c>
      <c r="D30" s="2">
        <v>2</v>
      </c>
    </row>
    <row r="31" spans="1:4">
      <c r="A31" s="3" t="s">
        <v>9</v>
      </c>
      <c r="B31" s="3" t="s">
        <v>8</v>
      </c>
      <c r="C31" s="5" t="s">
        <v>49</v>
      </c>
      <c r="D31" s="2">
        <v>2</v>
      </c>
    </row>
    <row r="32" spans="1:4">
      <c r="A32" s="3" t="s">
        <v>9</v>
      </c>
      <c r="B32" s="3" t="s">
        <v>8</v>
      </c>
      <c r="C32" s="5" t="s">
        <v>38</v>
      </c>
      <c r="D32" s="2">
        <v>2</v>
      </c>
    </row>
    <row r="33" spans="1:4">
      <c r="A33" s="3" t="s">
        <v>36</v>
      </c>
      <c r="B33" s="3" t="s">
        <v>7</v>
      </c>
      <c r="C33" s="5" t="s">
        <v>41</v>
      </c>
      <c r="D33" s="2">
        <v>2</v>
      </c>
    </row>
    <row r="34" spans="1:4">
      <c r="A34" s="3" t="s">
        <v>36</v>
      </c>
      <c r="B34" s="3" t="s">
        <v>7</v>
      </c>
      <c r="C34" s="5" t="s">
        <v>50</v>
      </c>
      <c r="D34" s="2">
        <v>2</v>
      </c>
    </row>
    <row r="35" spans="1:4">
      <c r="A35" s="3" t="s">
        <v>36</v>
      </c>
      <c r="B35" s="3" t="s">
        <v>7</v>
      </c>
      <c r="C35" s="5" t="s">
        <v>51</v>
      </c>
      <c r="D35" s="2">
        <v>2</v>
      </c>
    </row>
    <row r="36" spans="1:4">
      <c r="A36" s="3" t="s">
        <v>36</v>
      </c>
      <c r="B36" s="3" t="s">
        <v>7</v>
      </c>
      <c r="C36" s="5" t="s">
        <v>52</v>
      </c>
      <c r="D36" s="2">
        <v>2</v>
      </c>
    </row>
    <row r="37" spans="1:4">
      <c r="A37" s="3" t="s">
        <v>36</v>
      </c>
      <c r="B37" s="3" t="s">
        <v>7</v>
      </c>
      <c r="C37" s="5" t="s">
        <v>53</v>
      </c>
      <c r="D37" s="2">
        <v>2</v>
      </c>
    </row>
    <row r="38" spans="1:4">
      <c r="A38" s="3" t="s">
        <v>36</v>
      </c>
      <c r="B38" s="3" t="s">
        <v>7</v>
      </c>
      <c r="C38" s="5" t="s">
        <v>54</v>
      </c>
      <c r="D38" s="2">
        <v>2</v>
      </c>
    </row>
    <row r="39" spans="1:4">
      <c r="A39" s="3" t="s">
        <v>36</v>
      </c>
      <c r="B39" s="3" t="s">
        <v>7</v>
      </c>
      <c r="C39" s="5" t="s">
        <v>55</v>
      </c>
      <c r="D39" s="2">
        <v>2</v>
      </c>
    </row>
    <row r="40" spans="1:4">
      <c r="A40" s="3" t="s">
        <v>36</v>
      </c>
      <c r="B40" s="3" t="s">
        <v>7</v>
      </c>
      <c r="C40" s="5" t="s">
        <v>60</v>
      </c>
      <c r="D40" s="2">
        <v>2</v>
      </c>
    </row>
    <row r="41" spans="1:4">
      <c r="A41" s="16" t="s">
        <v>36</v>
      </c>
      <c r="B41" s="16" t="s">
        <v>7</v>
      </c>
      <c r="C41" s="17" t="s">
        <v>50</v>
      </c>
      <c r="D41" s="18">
        <v>4</v>
      </c>
    </row>
    <row r="42" spans="1:4">
      <c r="A42" s="3" t="s">
        <v>36</v>
      </c>
      <c r="B42" s="3" t="s">
        <v>7</v>
      </c>
      <c r="C42" s="5" t="s">
        <v>52</v>
      </c>
      <c r="D42" s="2">
        <v>4</v>
      </c>
    </row>
    <row r="43" spans="1:4">
      <c r="A43" s="3" t="s">
        <v>36</v>
      </c>
      <c r="B43" s="3" t="s">
        <v>7</v>
      </c>
      <c r="C43" s="5" t="s">
        <v>55</v>
      </c>
      <c r="D43" s="2">
        <v>1</v>
      </c>
    </row>
    <row r="44" spans="1:4">
      <c r="A44" s="3" t="s">
        <v>36</v>
      </c>
      <c r="B44" s="3" t="s">
        <v>7</v>
      </c>
      <c r="C44" s="5" t="s">
        <v>60</v>
      </c>
      <c r="D44" s="2">
        <v>4</v>
      </c>
    </row>
    <row r="45" spans="1:4">
      <c r="A45" s="3" t="s">
        <v>36</v>
      </c>
      <c r="B45" s="3" t="s">
        <v>7</v>
      </c>
      <c r="C45" s="5" t="s">
        <v>53</v>
      </c>
      <c r="D45" s="2">
        <v>2</v>
      </c>
    </row>
    <row r="46" spans="1:4">
      <c r="A46" s="3" t="s">
        <v>36</v>
      </c>
      <c r="B46" s="3" t="s">
        <v>7</v>
      </c>
      <c r="C46" s="5" t="s">
        <v>51</v>
      </c>
      <c r="D46" s="2">
        <v>2</v>
      </c>
    </row>
    <row r="47" spans="1:4">
      <c r="A47" s="3" t="s">
        <v>36</v>
      </c>
      <c r="B47" s="3" t="s">
        <v>7</v>
      </c>
      <c r="C47" s="5" t="s">
        <v>54</v>
      </c>
      <c r="D47" s="2">
        <v>3</v>
      </c>
    </row>
    <row r="48" spans="1:4">
      <c r="A48" s="3" t="s">
        <v>36</v>
      </c>
      <c r="B48" s="3" t="s">
        <v>7</v>
      </c>
      <c r="C48" s="5" t="s">
        <v>37</v>
      </c>
      <c r="D48" s="2">
        <v>1</v>
      </c>
    </row>
    <row r="49" spans="1:4">
      <c r="A49" s="3" t="s">
        <v>36</v>
      </c>
      <c r="B49" s="3" t="s">
        <v>7</v>
      </c>
      <c r="C49" s="5" t="s">
        <v>41</v>
      </c>
      <c r="D49" s="2">
        <v>3</v>
      </c>
    </row>
    <row r="50" spans="1:4">
      <c r="A50" s="3" t="s">
        <v>36</v>
      </c>
      <c r="B50" s="3" t="s">
        <v>7</v>
      </c>
      <c r="C50" s="5" t="s">
        <v>56</v>
      </c>
      <c r="D50" s="2">
        <v>1</v>
      </c>
    </row>
    <row r="51" spans="1:4">
      <c r="A51" s="16" t="s">
        <v>36</v>
      </c>
      <c r="B51" s="16" t="s">
        <v>5</v>
      </c>
      <c r="C51" s="17" t="s">
        <v>38</v>
      </c>
      <c r="D51" s="18">
        <v>2</v>
      </c>
    </row>
    <row r="52" spans="1:4">
      <c r="A52" s="3" t="s">
        <v>36</v>
      </c>
      <c r="B52" s="3" t="s">
        <v>5</v>
      </c>
      <c r="C52" s="5" t="s">
        <v>42</v>
      </c>
      <c r="D52" s="2">
        <v>3</v>
      </c>
    </row>
    <row r="53" spans="1:4">
      <c r="A53" s="3" t="s">
        <v>36</v>
      </c>
      <c r="B53" s="3" t="s">
        <v>5</v>
      </c>
      <c r="C53" s="5" t="s">
        <v>43</v>
      </c>
      <c r="D53" s="2">
        <v>2</v>
      </c>
    </row>
    <row r="54" spans="1:4">
      <c r="A54" s="3" t="s">
        <v>36</v>
      </c>
      <c r="B54" s="3" t="s">
        <v>5</v>
      </c>
      <c r="C54" s="5" t="s">
        <v>46</v>
      </c>
      <c r="D54" s="2">
        <v>3</v>
      </c>
    </row>
    <row r="55" spans="1:4">
      <c r="A55" s="3" t="s">
        <v>36</v>
      </c>
      <c r="B55" s="3" t="s">
        <v>5</v>
      </c>
      <c r="C55" s="5" t="s">
        <v>37</v>
      </c>
      <c r="D55" s="2">
        <v>3</v>
      </c>
    </row>
    <row r="56" spans="1:4">
      <c r="A56" s="3" t="s">
        <v>36</v>
      </c>
      <c r="B56" s="3" t="s">
        <v>5</v>
      </c>
      <c r="C56" s="5" t="s">
        <v>47</v>
      </c>
      <c r="D56" s="2">
        <v>3</v>
      </c>
    </row>
    <row r="57" spans="1:4">
      <c r="A57" s="3" t="s">
        <v>36</v>
      </c>
      <c r="B57" s="3" t="s">
        <v>5</v>
      </c>
      <c r="C57" s="5" t="s">
        <v>40</v>
      </c>
      <c r="D57" s="2">
        <v>4</v>
      </c>
    </row>
    <row r="58" spans="1:4">
      <c r="A58" s="3" t="s">
        <v>36</v>
      </c>
      <c r="B58" s="3" t="s">
        <v>5</v>
      </c>
      <c r="C58" s="5" t="s">
        <v>44</v>
      </c>
      <c r="D58" s="2">
        <v>2</v>
      </c>
    </row>
    <row r="59" spans="1:4">
      <c r="A59" s="3" t="s">
        <v>36</v>
      </c>
      <c r="B59" s="3" t="s">
        <v>5</v>
      </c>
      <c r="C59" s="5" t="s">
        <v>39</v>
      </c>
      <c r="D59" s="2">
        <v>2</v>
      </c>
    </row>
    <row r="60" spans="1:4">
      <c r="A60" s="3" t="s">
        <v>36</v>
      </c>
      <c r="B60" s="3" t="s">
        <v>5</v>
      </c>
      <c r="C60" s="5" t="s">
        <v>41</v>
      </c>
      <c r="D60" s="2">
        <v>2</v>
      </c>
    </row>
    <row r="61" spans="1:4">
      <c r="A61" s="16" t="s">
        <v>36</v>
      </c>
      <c r="B61" s="16" t="s">
        <v>7</v>
      </c>
      <c r="C61" s="17" t="s">
        <v>51</v>
      </c>
      <c r="D61" s="18">
        <v>4</v>
      </c>
    </row>
    <row r="62" spans="1:4">
      <c r="A62" s="3" t="s">
        <v>36</v>
      </c>
      <c r="B62" s="3" t="s">
        <v>7</v>
      </c>
      <c r="C62" s="5" t="s">
        <v>53</v>
      </c>
      <c r="D62" s="2">
        <v>2</v>
      </c>
    </row>
    <row r="63" spans="1:4">
      <c r="A63" s="3" t="s">
        <v>36</v>
      </c>
      <c r="B63" s="3" t="s">
        <v>7</v>
      </c>
      <c r="C63" s="5" t="s">
        <v>52</v>
      </c>
      <c r="D63" s="2">
        <v>1</v>
      </c>
    </row>
    <row r="64" spans="1:4">
      <c r="A64" s="3" t="s">
        <v>36</v>
      </c>
      <c r="B64" s="3" t="s">
        <v>7</v>
      </c>
      <c r="C64" s="5" t="s">
        <v>50</v>
      </c>
      <c r="D64" s="2">
        <v>3</v>
      </c>
    </row>
    <row r="65" spans="1:4">
      <c r="A65" s="3" t="s">
        <v>36</v>
      </c>
      <c r="B65" s="3" t="s">
        <v>7</v>
      </c>
      <c r="C65" s="5" t="s">
        <v>37</v>
      </c>
      <c r="D65" s="2">
        <v>3</v>
      </c>
    </row>
    <row r="66" spans="1:4">
      <c r="A66" s="3" t="s">
        <v>36</v>
      </c>
      <c r="B66" s="3" t="s">
        <v>7</v>
      </c>
      <c r="C66" s="5" t="s">
        <v>54</v>
      </c>
      <c r="D66" s="2">
        <v>4</v>
      </c>
    </row>
    <row r="67" spans="1:4">
      <c r="A67" s="3" t="s">
        <v>36</v>
      </c>
      <c r="B67" s="3" t="s">
        <v>7</v>
      </c>
      <c r="C67" s="5" t="s">
        <v>56</v>
      </c>
      <c r="D67" s="2">
        <v>3</v>
      </c>
    </row>
    <row r="68" spans="1:4">
      <c r="A68" s="3" t="s">
        <v>36</v>
      </c>
      <c r="B68" s="3" t="s">
        <v>7</v>
      </c>
      <c r="C68" s="5" t="s">
        <v>41</v>
      </c>
      <c r="D68" s="2">
        <v>4</v>
      </c>
    </row>
    <row r="69" spans="1:4">
      <c r="A69" s="3" t="s">
        <v>36</v>
      </c>
      <c r="B69" s="3" t="s">
        <v>7</v>
      </c>
      <c r="C69" s="5" t="s">
        <v>60</v>
      </c>
      <c r="D69" s="2">
        <v>1</v>
      </c>
    </row>
    <row r="70" spans="1:4">
      <c r="A70" s="3" t="s">
        <v>36</v>
      </c>
      <c r="B70" s="3" t="s">
        <v>7</v>
      </c>
      <c r="C70" s="17" t="s">
        <v>53</v>
      </c>
      <c r="D70" s="18">
        <v>4</v>
      </c>
    </row>
    <row r="71" spans="1:4">
      <c r="A71" s="3" t="s">
        <v>36</v>
      </c>
      <c r="B71" s="3" t="s">
        <v>7</v>
      </c>
      <c r="C71" s="5" t="s">
        <v>51</v>
      </c>
      <c r="D71" s="2">
        <v>4</v>
      </c>
    </row>
    <row r="72" spans="1:4">
      <c r="A72" s="3" t="s">
        <v>36</v>
      </c>
      <c r="B72" s="3" t="s">
        <v>7</v>
      </c>
      <c r="C72" s="5" t="s">
        <v>50</v>
      </c>
      <c r="D72" s="2">
        <v>5</v>
      </c>
    </row>
    <row r="73" spans="1:4">
      <c r="A73" s="3" t="s">
        <v>36</v>
      </c>
      <c r="B73" s="3" t="s">
        <v>7</v>
      </c>
      <c r="C73" s="5" t="s">
        <v>54</v>
      </c>
      <c r="D73" s="2">
        <v>4</v>
      </c>
    </row>
    <row r="74" spans="1:4">
      <c r="A74" s="3" t="s">
        <v>36</v>
      </c>
      <c r="B74" s="3" t="s">
        <v>7</v>
      </c>
      <c r="C74" s="5" t="s">
        <v>60</v>
      </c>
      <c r="D74" s="2">
        <v>5</v>
      </c>
    </row>
    <row r="75" spans="1:4">
      <c r="A75" s="3" t="s">
        <v>36</v>
      </c>
      <c r="B75" s="3" t="s">
        <v>7</v>
      </c>
      <c r="C75" s="5" t="s">
        <v>52</v>
      </c>
      <c r="D75" s="2">
        <v>4</v>
      </c>
    </row>
    <row r="76" spans="1:4">
      <c r="A76" s="3" t="s">
        <v>36</v>
      </c>
      <c r="B76" s="3" t="s">
        <v>7</v>
      </c>
      <c r="C76" s="5" t="s">
        <v>58</v>
      </c>
      <c r="D76" s="2">
        <v>4</v>
      </c>
    </row>
    <row r="77" spans="1:4">
      <c r="A77" s="3" t="s">
        <v>36</v>
      </c>
      <c r="B77" s="3" t="s">
        <v>7</v>
      </c>
      <c r="C77" s="5" t="s">
        <v>41</v>
      </c>
      <c r="D77" s="2">
        <v>4</v>
      </c>
    </row>
    <row r="78" spans="1:4">
      <c r="A78" s="3" t="s">
        <v>36</v>
      </c>
      <c r="B78" s="3" t="s">
        <v>7</v>
      </c>
      <c r="C78" s="5" t="s">
        <v>37</v>
      </c>
      <c r="D78" s="2">
        <v>4</v>
      </c>
    </row>
    <row r="79" spans="1:4">
      <c r="A79" s="3" t="s">
        <v>36</v>
      </c>
      <c r="B79" s="3" t="s">
        <v>7</v>
      </c>
      <c r="C79" s="5" t="s">
        <v>56</v>
      </c>
      <c r="D79" s="2">
        <v>4</v>
      </c>
    </row>
    <row r="80" spans="1:4">
      <c r="A80" s="3" t="s">
        <v>36</v>
      </c>
      <c r="B80" s="3" t="s">
        <v>7</v>
      </c>
      <c r="C80" s="5" t="s">
        <v>57</v>
      </c>
      <c r="D80" s="2">
        <v>4</v>
      </c>
    </row>
    <row r="81" spans="1:6">
      <c r="A81" s="3" t="s">
        <v>36</v>
      </c>
      <c r="B81" s="3" t="s">
        <v>7</v>
      </c>
      <c r="C81" s="5" t="s">
        <v>55</v>
      </c>
      <c r="D81" s="2">
        <v>4</v>
      </c>
    </row>
    <row r="82" spans="1:6">
      <c r="A82" s="3" t="s">
        <v>36</v>
      </c>
      <c r="B82" s="3" t="s">
        <v>7</v>
      </c>
      <c r="C82" s="17" t="s">
        <v>50</v>
      </c>
      <c r="D82" s="18">
        <v>7</v>
      </c>
    </row>
    <row r="83" spans="1:6">
      <c r="A83" s="3" t="s">
        <v>36</v>
      </c>
      <c r="B83" s="3" t="s">
        <v>7</v>
      </c>
      <c r="C83" s="5" t="s">
        <v>52</v>
      </c>
      <c r="D83" s="2">
        <v>4</v>
      </c>
    </row>
    <row r="84" spans="1:6">
      <c r="A84" s="3" t="s">
        <v>36</v>
      </c>
      <c r="B84" s="3" t="s">
        <v>7</v>
      </c>
      <c r="C84" s="5" t="s">
        <v>53</v>
      </c>
      <c r="D84" s="2">
        <v>2</v>
      </c>
    </row>
    <row r="85" spans="1:6">
      <c r="A85" s="3" t="s">
        <v>36</v>
      </c>
      <c r="B85" s="3" t="s">
        <v>7</v>
      </c>
      <c r="C85" s="5" t="s">
        <v>54</v>
      </c>
      <c r="D85" s="2">
        <v>4</v>
      </c>
    </row>
    <row r="86" spans="1:6">
      <c r="A86" s="3" t="s">
        <v>36</v>
      </c>
      <c r="B86" s="3" t="s">
        <v>7</v>
      </c>
      <c r="C86" s="5" t="s">
        <v>41</v>
      </c>
      <c r="D86" s="2">
        <v>2</v>
      </c>
    </row>
    <row r="87" spans="1:6">
      <c r="A87" s="3" t="s">
        <v>36</v>
      </c>
      <c r="B87" s="3" t="s">
        <v>7</v>
      </c>
      <c r="C87" s="5" t="s">
        <v>60</v>
      </c>
      <c r="D87" s="2">
        <v>1</v>
      </c>
      <c r="F87">
        <v>1</v>
      </c>
    </row>
    <row r="88" spans="1:6">
      <c r="A88" s="3" t="s">
        <v>36</v>
      </c>
      <c r="B88" s="3" t="s">
        <v>7</v>
      </c>
      <c r="C88" s="5" t="s">
        <v>58</v>
      </c>
      <c r="D88" s="2">
        <v>1</v>
      </c>
    </row>
    <row r="89" spans="1:6">
      <c r="A89" s="3" t="s">
        <v>36</v>
      </c>
      <c r="B89" s="3" t="s">
        <v>7</v>
      </c>
      <c r="C89" s="5" t="s">
        <v>51</v>
      </c>
      <c r="D89" s="2">
        <v>2</v>
      </c>
    </row>
    <row r="90" spans="1:6">
      <c r="A90" s="16" t="s">
        <v>36</v>
      </c>
      <c r="B90" s="16" t="s">
        <v>7</v>
      </c>
      <c r="C90" s="17" t="s">
        <v>37</v>
      </c>
      <c r="D90" s="18">
        <v>8</v>
      </c>
    </row>
    <row r="91" spans="1:6">
      <c r="A91" s="3" t="s">
        <v>36</v>
      </c>
      <c r="B91" s="3" t="s">
        <v>7</v>
      </c>
      <c r="C91" s="5" t="s">
        <v>55</v>
      </c>
      <c r="D91" s="2">
        <v>7</v>
      </c>
    </row>
    <row r="92" spans="1:6">
      <c r="A92" s="3" t="s">
        <v>36</v>
      </c>
      <c r="B92" s="3" t="s">
        <v>7</v>
      </c>
      <c r="C92" s="5" t="s">
        <v>51</v>
      </c>
      <c r="D92" s="2">
        <v>9</v>
      </c>
    </row>
    <row r="93" spans="1:6">
      <c r="A93" s="3" t="s">
        <v>36</v>
      </c>
      <c r="B93" s="3" t="s">
        <v>7</v>
      </c>
      <c r="C93" s="5" t="s">
        <v>53</v>
      </c>
      <c r="D93" s="2">
        <v>7</v>
      </c>
    </row>
    <row r="94" spans="1:6">
      <c r="A94" s="3" t="s">
        <v>36</v>
      </c>
      <c r="B94" s="3" t="s">
        <v>7</v>
      </c>
      <c r="C94" s="5" t="s">
        <v>56</v>
      </c>
      <c r="D94" s="2">
        <v>9</v>
      </c>
    </row>
    <row r="95" spans="1:6">
      <c r="A95" s="3" t="s">
        <v>36</v>
      </c>
      <c r="B95" s="3" t="s">
        <v>7</v>
      </c>
      <c r="C95" s="5" t="s">
        <v>41</v>
      </c>
      <c r="D95" s="2">
        <v>2</v>
      </c>
    </row>
    <row r="96" spans="1:6">
      <c r="A96" s="3" t="s">
        <v>36</v>
      </c>
      <c r="B96" s="3" t="s">
        <v>7</v>
      </c>
      <c r="C96" s="5" t="s">
        <v>54</v>
      </c>
      <c r="D96" s="2">
        <v>3</v>
      </c>
    </row>
    <row r="97" spans="1:6">
      <c r="A97" s="3" t="s">
        <v>36</v>
      </c>
      <c r="B97" s="3" t="s">
        <v>7</v>
      </c>
      <c r="C97" s="5" t="s">
        <v>58</v>
      </c>
      <c r="D97" s="2">
        <v>5</v>
      </c>
      <c r="F97">
        <f>SUM(D90:D97)</f>
        <v>50</v>
      </c>
    </row>
    <row r="98" spans="1:6">
      <c r="A98" s="16" t="s">
        <v>36</v>
      </c>
      <c r="B98" s="16" t="s">
        <v>7</v>
      </c>
      <c r="C98" s="49" t="s">
        <v>37</v>
      </c>
      <c r="D98" s="2">
        <v>3</v>
      </c>
    </row>
    <row r="99" spans="1:6">
      <c r="A99" s="3" t="s">
        <v>36</v>
      </c>
      <c r="B99" s="3" t="s">
        <v>7</v>
      </c>
      <c r="C99" s="4" t="s">
        <v>55</v>
      </c>
      <c r="D99" s="2">
        <v>3</v>
      </c>
    </row>
    <row r="100" spans="1:6">
      <c r="A100" s="3" t="s">
        <v>36</v>
      </c>
      <c r="B100" s="3" t="s">
        <v>7</v>
      </c>
      <c r="C100" s="4" t="s">
        <v>41</v>
      </c>
      <c r="D100" s="2">
        <v>15</v>
      </c>
    </row>
    <row r="101" spans="1:6">
      <c r="A101" s="3" t="s">
        <v>36</v>
      </c>
      <c r="B101" s="3" t="s">
        <v>7</v>
      </c>
      <c r="C101" s="4" t="s">
        <v>51</v>
      </c>
      <c r="D101" s="2">
        <v>15</v>
      </c>
    </row>
    <row r="102" spans="1:6">
      <c r="A102" s="3" t="s">
        <v>36</v>
      </c>
      <c r="B102" s="3" t="s">
        <v>7</v>
      </c>
      <c r="C102" s="4" t="s">
        <v>52</v>
      </c>
      <c r="D102" s="2">
        <v>4</v>
      </c>
    </row>
    <row r="103" spans="1:6">
      <c r="A103" s="3" t="s">
        <v>36</v>
      </c>
      <c r="B103" s="3" t="s">
        <v>7</v>
      </c>
      <c r="C103" s="4" t="s">
        <v>54</v>
      </c>
      <c r="D103" s="2">
        <v>15</v>
      </c>
    </row>
    <row r="104" spans="1:6">
      <c r="A104" s="3" t="s">
        <v>36</v>
      </c>
      <c r="B104" s="3" t="s">
        <v>7</v>
      </c>
      <c r="C104" s="4" t="s">
        <v>56</v>
      </c>
      <c r="D104" s="2">
        <v>15</v>
      </c>
    </row>
    <row r="105" spans="1:6">
      <c r="A105" s="3" t="s">
        <v>36</v>
      </c>
      <c r="B105" s="3" t="s">
        <v>7</v>
      </c>
      <c r="C105" s="4" t="s">
        <v>77</v>
      </c>
      <c r="D105" s="2">
        <v>15</v>
      </c>
    </row>
    <row r="106" spans="1:6">
      <c r="A106" s="3" t="s">
        <v>36</v>
      </c>
      <c r="B106" s="3" t="s">
        <v>7</v>
      </c>
      <c r="C106" s="4" t="s">
        <v>53</v>
      </c>
      <c r="D106" s="2">
        <v>5</v>
      </c>
    </row>
    <row r="107" spans="1:6">
      <c r="A107" s="3" t="s">
        <v>36</v>
      </c>
      <c r="B107" s="3" t="s">
        <v>7</v>
      </c>
      <c r="C107" s="4" t="s">
        <v>60</v>
      </c>
      <c r="D107" s="2">
        <v>5</v>
      </c>
    </row>
    <row r="108" spans="1:6">
      <c r="A108" s="3" t="s">
        <v>36</v>
      </c>
      <c r="B108" s="3" t="s">
        <v>7</v>
      </c>
      <c r="C108" t="s">
        <v>59</v>
      </c>
      <c r="D108" s="2">
        <v>5</v>
      </c>
      <c r="F108">
        <f>SUM(D98:D108)</f>
        <v>100</v>
      </c>
    </row>
    <row r="109" spans="1:6">
      <c r="A109" s="3"/>
      <c r="B109" s="3"/>
      <c r="C109" s="5"/>
      <c r="D109" s="2"/>
    </row>
    <row r="110" spans="1:6">
      <c r="A110" s="3"/>
      <c r="B110" s="3"/>
      <c r="C110" s="5"/>
      <c r="D110" s="2"/>
    </row>
    <row r="111" spans="1:6">
      <c r="A111" s="3"/>
      <c r="B111" s="3"/>
      <c r="C111" s="5"/>
      <c r="D111" s="2">
        <f>SUM(Tabla2[Cantidad])</f>
        <v>382</v>
      </c>
    </row>
  </sheetData>
  <phoneticPr fontId="18" type="noConversion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348A0-321C-43CF-A122-3A0A86C99732}">
  <sheetPr codeName="Hoja1"/>
  <dimension ref="A3:K36"/>
  <sheetViews>
    <sheetView topLeftCell="B1" workbookViewId="0">
      <selection activeCell="C1" sqref="C1"/>
    </sheetView>
  </sheetViews>
  <sheetFormatPr defaultColWidth="11.109375" defaultRowHeight="13.5"/>
  <cols>
    <col min="1" max="1" width="18" bestFit="1" customWidth="1"/>
    <col min="2" max="2" width="14.6640625" bestFit="1" customWidth="1"/>
    <col min="3" max="3" width="14.88671875" hidden="1" customWidth="1"/>
    <col min="4" max="4" width="17.44140625" hidden="1" customWidth="1"/>
    <col min="5" max="5" width="14.6640625" hidden="1" customWidth="1"/>
    <col min="6" max="6" width="0" hidden="1" customWidth="1"/>
    <col min="8" max="9" width="13.77734375" bestFit="1" customWidth="1"/>
  </cols>
  <sheetData>
    <row r="3" spans="1:7" ht="15.75">
      <c r="A3" s="12" t="s">
        <v>78</v>
      </c>
      <c r="B3" s="3" t="s">
        <v>79</v>
      </c>
      <c r="C3" s="3" t="s">
        <v>80</v>
      </c>
      <c r="D3" s="3" t="s">
        <v>81</v>
      </c>
      <c r="E3" s="3" t="s">
        <v>82</v>
      </c>
      <c r="F3" t="s">
        <v>83</v>
      </c>
    </row>
    <row r="4" spans="1:7" ht="15.75">
      <c r="A4" s="4" t="s">
        <v>8</v>
      </c>
      <c r="B4" s="3">
        <v>6</v>
      </c>
      <c r="C4" s="3"/>
      <c r="D4" s="3"/>
      <c r="E4" s="3"/>
    </row>
    <row r="5" spans="1:7" ht="15.75">
      <c r="A5" s="50" t="s">
        <v>43</v>
      </c>
      <c r="B5" s="3">
        <v>2</v>
      </c>
      <c r="C5" s="3">
        <f>VLOOKUP(Inventario!A5,'Ventas Marzo'!$C$19:$U$21,19,0)</f>
        <v>2</v>
      </c>
      <c r="D5" s="3"/>
      <c r="E5" s="3"/>
      <c r="F5" s="2">
        <f>GETPIVOTDATA("Cantidad",$A$3,"Tipo","Cristal","Sabor ","Banana Ice")-C5</f>
        <v>0</v>
      </c>
    </row>
    <row r="6" spans="1:7" ht="15.75">
      <c r="A6" s="50" t="s">
        <v>38</v>
      </c>
      <c r="B6" s="3">
        <v>2</v>
      </c>
      <c r="C6" s="3">
        <f>VLOOKUP(Inventario!A6,'Ventas Marzo'!$C$19:$U$21,19,0)</f>
        <v>2</v>
      </c>
      <c r="D6" s="3"/>
      <c r="E6" s="3"/>
      <c r="F6" s="2">
        <f>GETPIVOTDATA("Cantidad",$A$3,"Tipo","Cristal","Sabor ","Banana Ice")-C6</f>
        <v>0</v>
      </c>
    </row>
    <row r="7" spans="1:7" ht="15.75">
      <c r="A7" s="50" t="s">
        <v>49</v>
      </c>
      <c r="B7" s="3">
        <v>2</v>
      </c>
      <c r="C7" s="3">
        <f>VLOOKUP(Inventario!A7,'Ventas Marzo'!$C$19:$U$21,19,0)</f>
        <v>2</v>
      </c>
      <c r="D7" s="3"/>
      <c r="E7" s="3"/>
      <c r="F7" s="2">
        <f t="shared" ref="F7" si="0">GETPIVOTDATA("Cantidad",$A$3,"Tipo","Cristal","Sabor ","Banana Ice")-C7</f>
        <v>0</v>
      </c>
      <c r="G7">
        <f>SUM(F5:F7)</f>
        <v>0</v>
      </c>
    </row>
    <row r="8" spans="1:7" ht="15.75">
      <c r="A8" s="4" t="s">
        <v>5</v>
      </c>
      <c r="B8" s="3">
        <v>87</v>
      </c>
      <c r="C8" s="3"/>
      <c r="D8" s="3"/>
      <c r="E8" s="3"/>
      <c r="F8" s="2"/>
    </row>
    <row r="9" spans="1:7" ht="15.75">
      <c r="A9" s="50" t="s">
        <v>43</v>
      </c>
      <c r="B9" s="3">
        <v>6</v>
      </c>
      <c r="C9" s="3">
        <f>VLOOKUP(A9,'Ventas Marzo'!$C$8:$U$18,19,0)</f>
        <v>6</v>
      </c>
      <c r="D9" s="3"/>
      <c r="E9" s="3"/>
      <c r="F9" s="2">
        <f>GETPIVOTDATA("Cantidad",$A$3,"Tipo","CUBE","Sabor ","Banana Ice")-C9</f>
        <v>0</v>
      </c>
    </row>
    <row r="10" spans="1:7" ht="15.75">
      <c r="A10" s="50" t="s">
        <v>39</v>
      </c>
      <c r="B10" s="3">
        <v>9</v>
      </c>
      <c r="C10" s="3">
        <f>VLOOKUP(A10,'Ventas Marzo'!$C$8:$U$18,19,0)</f>
        <v>9</v>
      </c>
      <c r="D10" s="3"/>
      <c r="E10" s="3"/>
      <c r="F10" s="2">
        <f>GETPIVOTDATA("Cantidad",$A$3,"Tipo","CUBE","Sabor ","Cola ICE")-C10</f>
        <v>0</v>
      </c>
    </row>
    <row r="11" spans="1:7" ht="15.75">
      <c r="A11" s="50" t="s">
        <v>46</v>
      </c>
      <c r="B11" s="3">
        <v>8</v>
      </c>
      <c r="C11" s="3">
        <f>VLOOKUP(A11,'Ventas Marzo'!$C$8:$U$18,19,0)</f>
        <v>8</v>
      </c>
      <c r="D11" s="3"/>
      <c r="E11" s="3"/>
      <c r="F11" s="2">
        <f>GETPIVOTDATA("Cantidad",$A$3,"Tipo","CUBE","Sabor ","Double apple")-C11</f>
        <v>0</v>
      </c>
    </row>
    <row r="12" spans="1:7" ht="15.75">
      <c r="A12" s="50" t="s">
        <v>37</v>
      </c>
      <c r="B12" s="3">
        <v>12</v>
      </c>
      <c r="C12" s="3">
        <f>VLOOKUP(A12,'Ventas Marzo'!$C$8:$U$18,19,0)</f>
        <v>12</v>
      </c>
      <c r="D12" s="3"/>
      <c r="E12" s="3"/>
      <c r="F12" s="2">
        <f>GETPIVOTDATA("Cantidad",$A$3,"Tipo","CUBE","Sabor ","Energy ICE")-C12</f>
        <v>0</v>
      </c>
    </row>
    <row r="13" spans="1:7" ht="15.75">
      <c r="A13" s="50" t="s">
        <v>40</v>
      </c>
      <c r="B13" s="3">
        <v>14</v>
      </c>
      <c r="C13" s="3">
        <f>VLOOKUP(A13,'Ventas Marzo'!$C$8:$U$18,19,0)</f>
        <v>14</v>
      </c>
      <c r="D13" s="3"/>
      <c r="E13" s="3"/>
      <c r="F13" s="2">
        <f>GETPIVOTDATA("Cantidad",$A$3,"Tipo","CUBE","Sabor ","Grape soda")-C13</f>
        <v>0</v>
      </c>
    </row>
    <row r="14" spans="1:7" ht="15.75">
      <c r="A14" s="50" t="s">
        <v>47</v>
      </c>
      <c r="B14" s="3">
        <v>4</v>
      </c>
      <c r="C14" s="3">
        <f>VLOOKUP(A14,'Ventas Marzo'!$C$8:$U$18,19,0)</f>
        <v>4</v>
      </c>
      <c r="D14" s="3"/>
      <c r="E14" s="3"/>
      <c r="F14" s="2">
        <f>GETPIVOTDATA("Cantidad",$A$3,"Tipo","CUBE","Sabor ","ICE Water")-C14</f>
        <v>0</v>
      </c>
    </row>
    <row r="15" spans="1:7" ht="15.75">
      <c r="A15" s="50" t="s">
        <v>42</v>
      </c>
      <c r="B15" s="3">
        <v>9</v>
      </c>
      <c r="C15" s="3">
        <f>VLOOKUP(A15,'Ventas Marzo'!$C$8:$U$18,19,0)</f>
        <v>9</v>
      </c>
      <c r="D15" s="3"/>
      <c r="E15" s="3"/>
      <c r="F15" s="2">
        <f>GETPIVOTDATA("Cantidad",$A$3,"Tipo","CUBE","Sabor ","Lemonade")-C15</f>
        <v>0</v>
      </c>
    </row>
    <row r="16" spans="1:7" ht="15.75">
      <c r="A16" s="50" t="s">
        <v>38</v>
      </c>
      <c r="B16" s="3">
        <v>9</v>
      </c>
      <c r="C16" s="3">
        <f>VLOOKUP(A16,'Ventas Marzo'!$C$8:$U$18,19,0)</f>
        <v>9</v>
      </c>
      <c r="D16" s="3"/>
      <c r="E16" s="3"/>
      <c r="F16" s="2">
        <f>GETPIVOTDATA("Cantidad",$A$3,"Tipo","CUBE","Sabor ","Mango ICE")-C16</f>
        <v>0</v>
      </c>
    </row>
    <row r="17" spans="1:10" ht="15.75">
      <c r="A17" s="50" t="s">
        <v>44</v>
      </c>
      <c r="B17" s="3">
        <v>6</v>
      </c>
      <c r="C17" s="3">
        <f>VLOOKUP(A17,'Ventas Marzo'!$C$8:$U$18,19,0)</f>
        <v>6</v>
      </c>
      <c r="D17" s="3"/>
      <c r="E17" s="3"/>
      <c r="F17" s="2">
        <f>GETPIVOTDATA("Cantidad",$A$3,"Tipo","CUBE","Sabor ","Peach Candy")-C17</f>
        <v>0</v>
      </c>
    </row>
    <row r="18" spans="1:10" ht="15.75">
      <c r="A18" s="50" t="s">
        <v>41</v>
      </c>
      <c r="B18" s="3">
        <v>9</v>
      </c>
      <c r="C18" s="3">
        <f>VLOOKUP(A18,'Ventas Marzo'!$C$8:$U$18,19,0)</f>
        <v>9</v>
      </c>
      <c r="D18" s="3"/>
      <c r="E18" s="3"/>
      <c r="F18" s="2">
        <f>GETPIVOTDATA("Cantidad",$A$3,"Tipo","CUBE","Sabor ","Strawberry Lychee")-C18</f>
        <v>0</v>
      </c>
    </row>
    <row r="19" spans="1:10" ht="15.75">
      <c r="A19" s="50" t="s">
        <v>45</v>
      </c>
      <c r="B19" s="3">
        <v>1</v>
      </c>
      <c r="C19" s="3">
        <f>VLOOKUP(A19,'Ventas Marzo'!$C$8:$U$18,19,0)</f>
        <v>1</v>
      </c>
      <c r="D19" s="3"/>
      <c r="E19" s="3"/>
      <c r="F19" s="2">
        <f>GETPIVOTDATA("Cantidad",$A$3,"Tipo","CUBE","Sabor ","Watermelon")-C19</f>
        <v>0</v>
      </c>
    </row>
    <row r="20" spans="1:10" ht="15.75">
      <c r="A20" s="50" t="s">
        <v>7</v>
      </c>
      <c r="B20" s="3">
        <v>289</v>
      </c>
      <c r="C20" s="3"/>
      <c r="D20" s="3"/>
      <c r="E20" s="3"/>
      <c r="F20" s="2"/>
      <c r="G20">
        <f>SUM(F9:F19)</f>
        <v>0</v>
      </c>
    </row>
    <row r="21" spans="1:10" ht="15.75">
      <c r="A21" s="50" t="s">
        <v>37</v>
      </c>
      <c r="B21" s="3">
        <v>19</v>
      </c>
      <c r="C21" s="3">
        <f>_xlfn.IFNA(VLOOKUP(A21,'Ventas Marzo'!$C$22:$U$34,19,0),0)</f>
        <v>14</v>
      </c>
      <c r="D21" s="3">
        <f>_xlfn.IFNA(VLOOKUP(A21,'Ventas como provedor Marzo '!$D$7:$E$11,2,0),0)</f>
        <v>0</v>
      </c>
      <c r="E21" s="3">
        <f>_xlfn.IFNA(VLOOKUP(A21,'Transpazo sucursal'!$C$4:$D$9,2,0),0)</f>
        <v>4</v>
      </c>
      <c r="F21" s="2">
        <f>GETPIVOTDATA("Cantidad",$A$3,"Tipo","MAX","Sabor ","Energy ICE")-C21-D21-E21</f>
        <v>1</v>
      </c>
      <c r="I21" s="4" t="s">
        <v>37</v>
      </c>
      <c r="J21">
        <v>1</v>
      </c>
    </row>
    <row r="22" spans="1:10" ht="15.75">
      <c r="A22" s="50" t="s">
        <v>41</v>
      </c>
      <c r="B22" s="3">
        <v>32</v>
      </c>
      <c r="C22" s="3">
        <f>_xlfn.IFNA(VLOOKUP(A22,'Ventas Marzo'!$C$22:$U$34,19,0),0)</f>
        <v>19</v>
      </c>
      <c r="D22" s="3">
        <f>_xlfn.IFNA(VLOOKUP(A22,'Ventas como provedor Marzo '!$D$7:$E$11,2,0),0)</f>
        <v>10</v>
      </c>
      <c r="E22" s="3">
        <f>_xlfn.IFNA(VLOOKUP(A22,'Transpazo sucursal'!$C$4:$D$9,2,0),0)</f>
        <v>1</v>
      </c>
      <c r="F22" s="2">
        <f>GETPIVOTDATA("Cantidad",$A$3,"Tipo","MAX","Sabor ","Strawberry Lychee")-C22-D22-E22</f>
        <v>2</v>
      </c>
      <c r="I22" s="4" t="s">
        <v>55</v>
      </c>
      <c r="J22">
        <v>1</v>
      </c>
    </row>
    <row r="23" spans="1:10" ht="15.75">
      <c r="A23" s="50" t="s">
        <v>50</v>
      </c>
      <c r="B23" s="3">
        <v>36</v>
      </c>
      <c r="C23" s="3">
        <f>_xlfn.IFNA(VLOOKUP(A23,'Ventas Marzo'!$C$22:$U$34,19,0),0)</f>
        <v>21</v>
      </c>
      <c r="D23" s="3">
        <f>_xlfn.IFNA(VLOOKUP(A23,'Ventas como provedor Marzo '!$D$7:$E$11,2,0),0)</f>
        <v>10</v>
      </c>
      <c r="E23" s="3">
        <f>_xlfn.IFNA(VLOOKUP(A23,'Transpazo sucursal'!$C$4:$D$9,2,0),0)</f>
        <v>0</v>
      </c>
      <c r="F23" s="2">
        <f>GETPIVOTDATA("Cantidad",$A$3,"Tipo","MAX","Sabor ","Grapestraw")-C23-D23-E23</f>
        <v>5</v>
      </c>
      <c r="G23">
        <v>-2</v>
      </c>
      <c r="I23" s="47" t="s">
        <v>41</v>
      </c>
      <c r="J23">
        <v>15</v>
      </c>
    </row>
    <row r="24" spans="1:10" ht="15.75">
      <c r="A24" s="50" t="s">
        <v>51</v>
      </c>
      <c r="B24" s="3">
        <v>38</v>
      </c>
      <c r="C24" s="3">
        <f>_xlfn.IFNA(VLOOKUP(A24,'Ventas Marzo'!$C$22:$U$34,19,0),0)</f>
        <v>25</v>
      </c>
      <c r="D24" s="3">
        <f>_xlfn.IFNA(VLOOKUP(A24,'Ventas como provedor Marzo '!$D$7:$E$11,2,0),0)</f>
        <v>10</v>
      </c>
      <c r="E24" s="3">
        <f>_xlfn.IFNA(VLOOKUP(A24,'Transpazo sucursal'!$C$4:$D$9,2,0),0)</f>
        <v>0</v>
      </c>
      <c r="F24" s="2">
        <f>GETPIVOTDATA("Cantidad",$A$3,"Tipo","MAX","Sabor ","Berry Watermelon")-C24-D24-E24</f>
        <v>3</v>
      </c>
      <c r="G24">
        <v>-1</v>
      </c>
      <c r="I24" s="47" t="s">
        <v>51</v>
      </c>
      <c r="J24">
        <v>15</v>
      </c>
    </row>
    <row r="25" spans="1:10" ht="15.75">
      <c r="A25" s="50" t="s">
        <v>53</v>
      </c>
      <c r="B25" s="3">
        <v>24</v>
      </c>
      <c r="C25" s="3">
        <f>_xlfn.IFNA(VLOOKUP(A25,'Ventas Marzo'!$C$22:$U$34,19,0),0)</f>
        <v>22</v>
      </c>
      <c r="D25" s="3">
        <f>_xlfn.IFNA(VLOOKUP(A25,'Ventas como provedor Marzo '!$D$7:$E$11,2,0),0)</f>
        <v>0</v>
      </c>
      <c r="E25" s="3">
        <f>_xlfn.IFNA(VLOOKUP(A25,'Transpazo sucursal'!$C$4:$D$9,2,0),0)</f>
        <v>2</v>
      </c>
      <c r="F25" s="2">
        <f>GETPIVOTDATA("Cantidad",$A$3,"Tipo","MAX","Sabor ","Cool mint")-C25-D25-E25</f>
        <v>0</v>
      </c>
      <c r="I25" s="4" t="s">
        <v>52</v>
      </c>
      <c r="J25">
        <v>4</v>
      </c>
    </row>
    <row r="26" spans="1:10" ht="15.75">
      <c r="A26" s="50" t="s">
        <v>54</v>
      </c>
      <c r="B26" s="3">
        <v>35</v>
      </c>
      <c r="C26" s="3">
        <f>_xlfn.IFNA(VLOOKUP(A26,'Ventas Marzo'!$C$22:$U$34,19,0),0)</f>
        <v>24</v>
      </c>
      <c r="D26" s="3">
        <f>_xlfn.IFNA(VLOOKUP(A26,'Ventas como provedor Marzo '!$D$7:$E$11,2,0),0)</f>
        <v>10</v>
      </c>
      <c r="E26" s="3">
        <f>_xlfn.IFNA(VLOOKUP(A26,'Transpazo sucursal'!$C$4:$D$9,2,0),0)</f>
        <v>0</v>
      </c>
      <c r="F26" s="2">
        <f>GETPIVOTDATA("Cantidad",$A$3,"Tipo","MAX","Sabor ","Bluerazz")-C26-D26-E26</f>
        <v>1</v>
      </c>
      <c r="G26">
        <v>-1</v>
      </c>
      <c r="I26" s="47" t="s">
        <v>54</v>
      </c>
      <c r="J26">
        <v>15</v>
      </c>
    </row>
    <row r="27" spans="1:10" ht="15.75">
      <c r="A27" s="50" t="s">
        <v>55</v>
      </c>
      <c r="B27" s="3">
        <v>17</v>
      </c>
      <c r="C27" s="3">
        <f>_xlfn.IFNA(VLOOKUP(A27,'Ventas Marzo'!$C$22:$U$34,19,0),0)</f>
        <v>12</v>
      </c>
      <c r="D27" s="3">
        <f>_xlfn.IFNA(VLOOKUP(A27,'Ventas como provedor Marzo '!$D$7:$E$11,2,0),0)</f>
        <v>0</v>
      </c>
      <c r="E27" s="3">
        <f>_xlfn.IFNA(VLOOKUP(A27,'Transpazo sucursal'!$C$4:$D$9,2,0),0)</f>
        <v>3</v>
      </c>
      <c r="F27" s="2">
        <f>GETPIVOTDATA("Cantidad",$A$3,"Tipo","MAX","Sabor ","Sour Apple")-C27-D27-E27</f>
        <v>2</v>
      </c>
      <c r="I27" s="47" t="s">
        <v>56</v>
      </c>
      <c r="J27">
        <v>15</v>
      </c>
    </row>
    <row r="28" spans="1:10" ht="15.75">
      <c r="A28" s="50" t="s">
        <v>60</v>
      </c>
      <c r="B28" s="3">
        <v>18</v>
      </c>
      <c r="C28" s="3">
        <f>_xlfn.IFNA(VLOOKUP(A28,'Ventas Marzo'!$C$22:$U$34,19,0),0)</f>
        <v>17</v>
      </c>
      <c r="D28" s="3">
        <f>_xlfn.IFNA(VLOOKUP(A28,'Ventas como provedor Marzo '!$D$7:$E$11,2,0),0)</f>
        <v>0</v>
      </c>
      <c r="E28" s="3">
        <f>_xlfn.IFNA(VLOOKUP(A28,'Transpazo sucursal'!$C$4:$D$9,2,0),0)</f>
        <v>0</v>
      </c>
      <c r="F28" s="2">
        <f>GETPIVOTDATA("Cantidad",$A$3,"Tipo","MAX","Sabor ","Coconut")-C28-D28-E28</f>
        <v>1</v>
      </c>
      <c r="I28" s="47" t="s">
        <v>77</v>
      </c>
      <c r="J28">
        <v>15</v>
      </c>
    </row>
    <row r="29" spans="1:10" ht="15.75">
      <c r="A29" s="50" t="s">
        <v>52</v>
      </c>
      <c r="B29" s="3">
        <v>19</v>
      </c>
      <c r="C29" s="3">
        <f>_xlfn.IFNA(VLOOKUP(A29,'Ventas Marzo'!$C$22:$U$34,19,0),0)</f>
        <v>19</v>
      </c>
      <c r="D29" s="3">
        <f>_xlfn.IFNA(VLOOKUP(A29,'Ventas como provedor Marzo '!$D$7:$E$11,2,0),0)</f>
        <v>0</v>
      </c>
      <c r="E29" s="3">
        <f>_xlfn.IFNA(VLOOKUP(A29,'Transpazo sucursal'!$C$4:$D$9,2,0),0)</f>
        <v>0</v>
      </c>
      <c r="F29" s="2">
        <f>GETPIVOTDATA("Cantidad",$A$3,"Tipo","MAX","Sabor ","Guava")-C29-D29-E29</f>
        <v>0</v>
      </c>
      <c r="I29" s="4" t="s">
        <v>53</v>
      </c>
      <c r="J29">
        <v>5</v>
      </c>
    </row>
    <row r="30" spans="1:10" ht="15.75">
      <c r="A30" s="50" t="s">
        <v>56</v>
      </c>
      <c r="B30" s="3">
        <v>32</v>
      </c>
      <c r="C30" s="3">
        <f>_xlfn.IFNA(VLOOKUP(A30,'Ventas Marzo'!$C$22:$U$34,19,0),0)</f>
        <v>18</v>
      </c>
      <c r="D30" s="3">
        <f>_xlfn.IFNA(VLOOKUP(A30,'Ventas como provedor Marzo '!$D$7:$E$11,2,0),0)</f>
        <v>10</v>
      </c>
      <c r="E30" s="3">
        <f>_xlfn.IFNA(VLOOKUP(A30,'Transpazo sucursal'!$C$4:$D$9,2,0),0)</f>
        <v>4</v>
      </c>
      <c r="F30" s="2">
        <f>GETPIVOTDATA("Cantidad",$A$3,"Tipo","MAX","Sabor ","GrapeFruit berry")-C30-D30-E30</f>
        <v>0</v>
      </c>
      <c r="I30" s="4" t="s">
        <v>60</v>
      </c>
      <c r="J30">
        <v>5</v>
      </c>
    </row>
    <row r="31" spans="1:10" ht="15.75">
      <c r="A31" s="50" t="s">
        <v>58</v>
      </c>
      <c r="B31" s="3">
        <v>10</v>
      </c>
      <c r="C31" s="3">
        <f>_xlfn.IFNA(VLOOKUP(A31,'Ventas Marzo'!$C$22:$U$34,19,0),0)</f>
        <v>7</v>
      </c>
      <c r="D31" s="3">
        <f>_xlfn.IFNA(VLOOKUP(A31,'Ventas como provedor Marzo '!$D$7:$E$11,2,0),0)</f>
        <v>0</v>
      </c>
      <c r="E31" s="3">
        <f>_xlfn.IFNA(VLOOKUP(A31,'Transpazo sucursal'!$C$4:$D$9,2,0),0)</f>
        <v>3</v>
      </c>
      <c r="F31" s="2">
        <f>GETPIVOTDATA("Cantidad",$A$3,"Tipo","MAX","Sabor ","Lush Ice")-C31-D31-E31</f>
        <v>0</v>
      </c>
      <c r="I31" t="s">
        <v>59</v>
      </c>
      <c r="J31">
        <v>5</v>
      </c>
    </row>
    <row r="32" spans="1:10" ht="15.75">
      <c r="A32" s="50" t="s">
        <v>57</v>
      </c>
      <c r="B32" s="3">
        <v>4</v>
      </c>
      <c r="C32" s="3">
        <f>_xlfn.IFNA(VLOOKUP(A32,'Ventas Marzo'!$C$22:$U$34,19,0),0)</f>
        <v>4</v>
      </c>
      <c r="D32" s="3">
        <f>_xlfn.IFNA(VLOOKUP(A32,'Ventas como provedor Marzo '!$D$7:$E$11,2,0),0)</f>
        <v>0</v>
      </c>
      <c r="E32" s="3">
        <f>_xlfn.IFNA(VLOOKUP(A32,'Transpazo sucursal'!$C$4:$D$9,2,0),0)</f>
        <v>0</v>
      </c>
      <c r="F32" s="2">
        <f>GETPIVOTDATA("Cantidad",$A$3,"Tipo","MAX","Sabor ","Cocumber Lemonade")-C32-D32-E32</f>
        <v>0</v>
      </c>
    </row>
    <row r="33" spans="1:11" ht="15.75">
      <c r="A33" s="50" t="s">
        <v>59</v>
      </c>
      <c r="B33" s="3">
        <v>5</v>
      </c>
      <c r="C33" s="3">
        <f>_xlfn.IFNA(VLOOKUP(A33,'Ventas Marzo'!$C$22:$U$34,19,0),0)</f>
        <v>1</v>
      </c>
      <c r="D33" s="3">
        <f>_xlfn.IFNA(VLOOKUP(A33,'Ventas como provedor Marzo '!$D$7:$E$11,2,0),0)</f>
        <v>0</v>
      </c>
      <c r="E33" s="3">
        <f>_xlfn.IFNA(VLOOKUP(A33,'Transpazo sucursal'!$C$4:$D$9,2,0),0)</f>
        <v>0</v>
      </c>
      <c r="F33" s="2">
        <f>B33-C33-D33-E33</f>
        <v>4</v>
      </c>
      <c r="G33">
        <v>-1</v>
      </c>
      <c r="K33">
        <f>SUM(J21:J31)</f>
        <v>96</v>
      </c>
    </row>
    <row r="34" spans="1:11" ht="15.75">
      <c r="A34" s="4" t="s">
        <v>84</v>
      </c>
      <c r="B34" s="3"/>
      <c r="C34" s="3"/>
      <c r="G34">
        <f>SUM(F21:F33)</f>
        <v>19</v>
      </c>
    </row>
    <row r="35" spans="1:11" ht="15.75">
      <c r="A35" s="50" t="s">
        <v>84</v>
      </c>
      <c r="B35" s="3"/>
    </row>
    <row r="36" spans="1:11" ht="15.75">
      <c r="A36" s="4" t="s">
        <v>85</v>
      </c>
      <c r="B36" s="3">
        <v>382</v>
      </c>
    </row>
  </sheetData>
  <conditionalFormatting sqref="F5:F7 F9:F19 F21:F33">
    <cfRule type="cellIs" dxfId="43" priority="2" operator="lessThanOrEqual">
      <formula>0</formula>
    </cfRule>
  </conditionalFormatting>
  <conditionalFormatting sqref="F9:F19 F5:F7 F21:F33">
    <cfRule type="cellIs" dxfId="42" priority="1" operator="equal">
      <formula>1</formula>
    </cfRule>
  </conditionalFormatting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ADDAF-AECB-41E9-8AE4-CD1C090E90B5}">
  <sheetPr codeName="Hoja8"/>
  <dimension ref="A3:F97"/>
  <sheetViews>
    <sheetView zoomScaleNormal="100" workbookViewId="0">
      <selection activeCell="B4" sqref="B4:D9"/>
    </sheetView>
  </sheetViews>
  <sheetFormatPr defaultColWidth="11.109375" defaultRowHeight="13.5"/>
  <sheetData>
    <row r="3" spans="1:6">
      <c r="A3" s="27" t="s">
        <v>2</v>
      </c>
      <c r="B3" s="28" t="s">
        <v>1</v>
      </c>
      <c r="C3" s="28" t="s">
        <v>11</v>
      </c>
      <c r="D3" s="28" t="s">
        <v>62</v>
      </c>
    </row>
    <row r="4" spans="1:6">
      <c r="A4" s="45" t="s">
        <v>36</v>
      </c>
      <c r="B4" s="46" t="s">
        <v>7</v>
      </c>
      <c r="C4" s="43" t="s">
        <v>37</v>
      </c>
      <c r="D4" s="30">
        <v>4</v>
      </c>
    </row>
    <row r="5" spans="1:6">
      <c r="A5" s="32" t="s">
        <v>36</v>
      </c>
      <c r="B5" s="33" t="s">
        <v>7</v>
      </c>
      <c r="C5" s="37" t="s">
        <v>55</v>
      </c>
      <c r="D5" s="33">
        <v>3</v>
      </c>
    </row>
    <row r="6" spans="1:6">
      <c r="A6" s="32" t="s">
        <v>36</v>
      </c>
      <c r="B6" s="33" t="s">
        <v>7</v>
      </c>
      <c r="C6" s="37" t="s">
        <v>53</v>
      </c>
      <c r="D6" s="33">
        <v>2</v>
      </c>
    </row>
    <row r="7" spans="1:6">
      <c r="A7" s="29" t="s">
        <v>36</v>
      </c>
      <c r="B7" s="30" t="s">
        <v>7</v>
      </c>
      <c r="C7" s="35" t="s">
        <v>56</v>
      </c>
      <c r="D7" s="30">
        <v>4</v>
      </c>
    </row>
    <row r="8" spans="1:6">
      <c r="A8" s="32" t="s">
        <v>36</v>
      </c>
      <c r="B8" s="33" t="s">
        <v>7</v>
      </c>
      <c r="C8" s="37" t="s">
        <v>58</v>
      </c>
      <c r="D8" s="33">
        <v>3</v>
      </c>
    </row>
    <row r="9" spans="1:6">
      <c r="A9" s="32" t="s">
        <v>36</v>
      </c>
      <c r="B9" s="33" t="s">
        <v>7</v>
      </c>
      <c r="C9" s="37" t="s">
        <v>41</v>
      </c>
      <c r="D9" s="33">
        <v>1</v>
      </c>
      <c r="F9">
        <f>SUM(D4:D9)</f>
        <v>17</v>
      </c>
    </row>
    <row r="10" spans="1:6">
      <c r="A10" s="29"/>
      <c r="B10" s="30"/>
      <c r="C10" s="35"/>
      <c r="D10" s="30"/>
    </row>
    <row r="12" spans="1:6">
      <c r="A12" s="29"/>
      <c r="B12" s="30"/>
      <c r="C12" s="31"/>
      <c r="D12" s="30"/>
    </row>
    <row r="13" spans="1:6">
      <c r="A13" s="32"/>
      <c r="B13" s="33"/>
      <c r="C13" s="34"/>
      <c r="D13" s="33"/>
    </row>
    <row r="14" spans="1:6">
      <c r="A14" s="29"/>
      <c r="B14" s="30"/>
      <c r="C14" s="31"/>
      <c r="D14" s="30"/>
    </row>
    <row r="15" spans="1:6">
      <c r="A15" s="32"/>
      <c r="B15" s="33"/>
      <c r="C15" s="34"/>
      <c r="D15" s="33"/>
    </row>
    <row r="16" spans="1:6">
      <c r="A16" s="29"/>
      <c r="B16" s="30"/>
      <c r="C16" s="31"/>
      <c r="D16" s="30"/>
    </row>
    <row r="17" spans="1:4">
      <c r="A17" s="32"/>
      <c r="B17" s="33"/>
      <c r="C17" s="34"/>
      <c r="D17" s="33"/>
    </row>
    <row r="18" spans="1:4">
      <c r="A18" s="29"/>
      <c r="B18" s="30"/>
      <c r="C18" s="31"/>
      <c r="D18" s="30"/>
    </row>
    <row r="19" spans="1:4">
      <c r="A19" s="32"/>
      <c r="B19" s="33"/>
      <c r="C19" s="34"/>
      <c r="D19" s="33"/>
    </row>
    <row r="20" spans="1:4">
      <c r="A20" s="29"/>
      <c r="B20" s="30"/>
      <c r="C20" s="31"/>
      <c r="D20" s="30"/>
    </row>
    <row r="21" spans="1:4">
      <c r="A21" s="32"/>
      <c r="B21" s="33"/>
      <c r="C21" s="34"/>
      <c r="D21" s="33"/>
    </row>
    <row r="22" spans="1:4">
      <c r="A22" s="29"/>
      <c r="B22" s="30"/>
      <c r="C22" s="31"/>
      <c r="D22" s="30"/>
    </row>
    <row r="23" spans="1:4">
      <c r="A23" s="32"/>
      <c r="B23" s="33"/>
      <c r="C23" s="34"/>
      <c r="D23" s="33"/>
    </row>
    <row r="24" spans="1:4">
      <c r="A24" s="29"/>
      <c r="B24" s="30"/>
      <c r="C24" s="31"/>
      <c r="D24" s="30"/>
    </row>
    <row r="25" spans="1:4">
      <c r="A25" s="32"/>
      <c r="B25" s="33"/>
      <c r="C25" s="34"/>
      <c r="D25" s="33"/>
    </row>
    <row r="26" spans="1:4">
      <c r="A26" s="29"/>
      <c r="B26" s="30"/>
      <c r="C26" s="31"/>
      <c r="D26" s="30"/>
    </row>
    <row r="27" spans="1:4">
      <c r="A27" s="32"/>
      <c r="B27" s="33"/>
      <c r="C27" s="34"/>
      <c r="D27" s="33"/>
    </row>
    <row r="28" spans="1:4">
      <c r="A28" s="29"/>
      <c r="B28" s="30"/>
      <c r="C28" s="31"/>
      <c r="D28" s="30"/>
    </row>
    <row r="29" spans="1:4">
      <c r="A29" s="32"/>
      <c r="B29" s="33"/>
      <c r="C29" s="34"/>
      <c r="D29" s="33"/>
    </row>
    <row r="30" spans="1:4">
      <c r="A30" s="29"/>
      <c r="B30" s="30"/>
      <c r="C30" s="35"/>
      <c r="D30" s="36"/>
    </row>
    <row r="31" spans="1:4">
      <c r="A31" s="32"/>
      <c r="B31" s="33"/>
      <c r="C31" s="37"/>
      <c r="D31" s="38"/>
    </row>
    <row r="32" spans="1:4">
      <c r="A32" s="29"/>
      <c r="B32" s="30"/>
      <c r="C32" s="35"/>
      <c r="D32" s="36"/>
    </row>
    <row r="33" spans="1:4">
      <c r="A33" s="32"/>
      <c r="B33" s="33"/>
      <c r="C33" s="37"/>
      <c r="D33" s="38"/>
    </row>
    <row r="34" spans="1:4">
      <c r="A34" s="29"/>
      <c r="B34" s="30"/>
      <c r="C34" s="35"/>
      <c r="D34" s="36"/>
    </row>
    <row r="35" spans="1:4">
      <c r="A35" s="32"/>
      <c r="B35" s="33"/>
      <c r="C35" s="37"/>
      <c r="D35" s="38"/>
    </row>
    <row r="36" spans="1:4">
      <c r="A36" s="29"/>
      <c r="B36" s="30"/>
      <c r="C36" s="35"/>
      <c r="D36" s="36"/>
    </row>
    <row r="37" spans="1:4">
      <c r="A37" s="32"/>
      <c r="B37" s="33"/>
      <c r="C37" s="37"/>
      <c r="D37" s="38"/>
    </row>
    <row r="38" spans="1:4">
      <c r="A38" s="29"/>
      <c r="B38" s="30"/>
      <c r="C38" s="35"/>
      <c r="D38" s="36"/>
    </row>
    <row r="39" spans="1:4">
      <c r="A39" s="32"/>
      <c r="B39" s="33"/>
      <c r="C39" s="37"/>
      <c r="D39" s="38"/>
    </row>
    <row r="40" spans="1:4">
      <c r="A40" s="29"/>
      <c r="B40" s="30"/>
      <c r="C40" s="35"/>
      <c r="D40" s="36"/>
    </row>
    <row r="41" spans="1:4">
      <c r="A41" s="39"/>
      <c r="B41" s="40"/>
      <c r="C41" s="41"/>
      <c r="D41" s="42"/>
    </row>
    <row r="42" spans="1:4">
      <c r="A42" s="29"/>
      <c r="B42" s="30"/>
      <c r="C42" s="35"/>
      <c r="D42" s="36"/>
    </row>
    <row r="43" spans="1:4">
      <c r="A43" s="32"/>
      <c r="B43" s="33"/>
      <c r="C43" s="37"/>
      <c r="D43" s="38"/>
    </row>
    <row r="44" spans="1:4">
      <c r="A44" s="29"/>
      <c r="B44" s="30"/>
      <c r="C44" s="35"/>
      <c r="D44" s="36"/>
    </row>
    <row r="45" spans="1:4">
      <c r="A45" s="32"/>
      <c r="B45" s="33"/>
      <c r="C45" s="37"/>
      <c r="D45" s="38"/>
    </row>
    <row r="46" spans="1:4">
      <c r="A46" s="29"/>
      <c r="B46" s="30"/>
      <c r="C46" s="35"/>
      <c r="D46" s="36"/>
    </row>
    <row r="47" spans="1:4">
      <c r="A47" s="32"/>
      <c r="B47" s="33"/>
      <c r="C47" s="37"/>
      <c r="D47" s="38"/>
    </row>
    <row r="48" spans="1:4">
      <c r="A48" s="29"/>
      <c r="B48" s="30"/>
      <c r="C48" s="35"/>
      <c r="D48" s="36"/>
    </row>
    <row r="49" spans="1:4">
      <c r="A49" s="32"/>
      <c r="B49" s="33"/>
      <c r="C49" s="37"/>
      <c r="D49" s="38"/>
    </row>
    <row r="50" spans="1:4">
      <c r="A50" s="29"/>
      <c r="B50" s="30"/>
      <c r="C50" s="35"/>
      <c r="D50" s="36"/>
    </row>
    <row r="51" spans="1:4">
      <c r="A51" s="39"/>
      <c r="B51" s="40"/>
      <c r="C51" s="41"/>
      <c r="D51" s="42"/>
    </row>
    <row r="52" spans="1:4">
      <c r="A52" s="29"/>
      <c r="B52" s="30"/>
      <c r="C52" s="35"/>
      <c r="D52" s="36"/>
    </row>
    <row r="53" spans="1:4">
      <c r="A53" s="32"/>
      <c r="B53" s="33"/>
      <c r="C53" s="37"/>
      <c r="D53" s="38"/>
    </row>
    <row r="54" spans="1:4">
      <c r="A54" s="29"/>
      <c r="B54" s="30"/>
      <c r="C54" s="35"/>
      <c r="D54" s="36"/>
    </row>
    <row r="55" spans="1:4">
      <c r="A55" s="32"/>
      <c r="B55" s="33"/>
      <c r="C55" s="37"/>
      <c r="D55" s="38"/>
    </row>
    <row r="56" spans="1:4">
      <c r="A56" s="29"/>
      <c r="B56" s="30"/>
      <c r="C56" s="35"/>
      <c r="D56" s="36"/>
    </row>
    <row r="57" spans="1:4">
      <c r="A57" s="32"/>
      <c r="B57" s="33"/>
      <c r="C57" s="37"/>
      <c r="D57" s="38"/>
    </row>
    <row r="58" spans="1:4">
      <c r="A58" s="29"/>
      <c r="B58" s="30"/>
      <c r="C58" s="35"/>
      <c r="D58" s="36"/>
    </row>
    <row r="59" spans="1:4">
      <c r="A59" s="32"/>
      <c r="B59" s="33"/>
      <c r="C59" s="37"/>
      <c r="D59" s="38"/>
    </row>
    <row r="60" spans="1:4">
      <c r="A60" s="29"/>
      <c r="B60" s="30"/>
      <c r="C60" s="35"/>
      <c r="D60" s="36"/>
    </row>
    <row r="61" spans="1:4">
      <c r="A61" s="39"/>
      <c r="B61" s="40"/>
      <c r="C61" s="41"/>
      <c r="D61" s="42"/>
    </row>
    <row r="62" spans="1:4">
      <c r="A62" s="29"/>
      <c r="B62" s="30"/>
      <c r="C62" s="35"/>
      <c r="D62" s="36"/>
    </row>
    <row r="63" spans="1:4">
      <c r="A63" s="32"/>
      <c r="B63" s="33"/>
      <c r="C63" s="37"/>
      <c r="D63" s="38"/>
    </row>
    <row r="64" spans="1:4">
      <c r="A64" s="29"/>
      <c r="B64" s="30"/>
      <c r="C64" s="35"/>
      <c r="D64" s="36"/>
    </row>
    <row r="65" spans="1:4">
      <c r="A65" s="32"/>
      <c r="B65" s="33"/>
      <c r="C65" s="37"/>
      <c r="D65" s="38"/>
    </row>
    <row r="66" spans="1:4">
      <c r="A66" s="29"/>
      <c r="B66" s="30"/>
      <c r="C66" s="35"/>
      <c r="D66" s="36"/>
    </row>
    <row r="67" spans="1:4">
      <c r="A67" s="32"/>
      <c r="B67" s="33"/>
      <c r="C67" s="37"/>
      <c r="D67" s="38"/>
    </row>
    <row r="68" spans="1:4">
      <c r="A68" s="29"/>
      <c r="B68" s="30"/>
      <c r="C68" s="35"/>
      <c r="D68" s="36"/>
    </row>
    <row r="69" spans="1:4">
      <c r="A69" s="32"/>
      <c r="B69" s="33"/>
      <c r="C69" s="37"/>
      <c r="D69" s="38"/>
    </row>
    <row r="70" spans="1:4">
      <c r="A70" s="29"/>
      <c r="B70" s="30"/>
      <c r="C70" s="43"/>
      <c r="D70" s="44"/>
    </row>
    <row r="71" spans="1:4">
      <c r="A71" s="32"/>
      <c r="B71" s="33"/>
      <c r="C71" s="37"/>
      <c r="D71" s="38"/>
    </row>
    <row r="72" spans="1:4">
      <c r="A72" s="29"/>
      <c r="B72" s="30"/>
      <c r="C72" s="35"/>
      <c r="D72" s="36"/>
    </row>
    <row r="73" spans="1:4">
      <c r="A73" s="32"/>
      <c r="B73" s="33"/>
      <c r="C73" s="37"/>
      <c r="D73" s="38"/>
    </row>
    <row r="74" spans="1:4">
      <c r="A74" s="29"/>
      <c r="B74" s="30"/>
      <c r="C74" s="35"/>
      <c r="D74" s="36"/>
    </row>
    <row r="75" spans="1:4">
      <c r="A75" s="32"/>
      <c r="B75" s="33"/>
      <c r="C75" s="37"/>
      <c r="D75" s="38"/>
    </row>
    <row r="76" spans="1:4">
      <c r="A76" s="29"/>
      <c r="B76" s="30"/>
      <c r="C76" s="35"/>
      <c r="D76" s="36"/>
    </row>
    <row r="77" spans="1:4">
      <c r="A77" s="32"/>
      <c r="B77" s="33"/>
      <c r="C77" s="37"/>
      <c r="D77" s="38"/>
    </row>
    <row r="78" spans="1:4">
      <c r="A78" s="29"/>
      <c r="B78" s="30"/>
      <c r="C78" s="35"/>
      <c r="D78" s="36"/>
    </row>
    <row r="79" spans="1:4">
      <c r="A79" s="32"/>
      <c r="B79" s="33"/>
      <c r="C79" s="37"/>
      <c r="D79" s="38"/>
    </row>
    <row r="80" spans="1:4">
      <c r="A80" s="29"/>
      <c r="B80" s="30"/>
      <c r="C80" s="35"/>
      <c r="D80" s="36"/>
    </row>
    <row r="81" spans="1:4">
      <c r="A81" s="32"/>
      <c r="B81" s="33"/>
      <c r="C81" s="37"/>
      <c r="D81" s="38"/>
    </row>
    <row r="82" spans="1:4">
      <c r="A82" s="29"/>
      <c r="B82" s="30"/>
      <c r="C82" s="43"/>
      <c r="D82" s="44"/>
    </row>
    <row r="83" spans="1:4">
      <c r="A83" s="32"/>
      <c r="B83" s="33"/>
      <c r="C83" s="37"/>
      <c r="D83" s="38"/>
    </row>
    <row r="84" spans="1:4">
      <c r="A84" s="29"/>
      <c r="B84" s="30"/>
      <c r="C84" s="35"/>
      <c r="D84" s="36"/>
    </row>
    <row r="85" spans="1:4">
      <c r="A85" s="32"/>
      <c r="B85" s="33"/>
      <c r="C85" s="37"/>
      <c r="D85" s="38"/>
    </row>
    <row r="86" spans="1:4">
      <c r="A86" s="29"/>
      <c r="B86" s="30"/>
      <c r="C86" s="35"/>
      <c r="D86" s="36"/>
    </row>
    <row r="87" spans="1:4">
      <c r="A87" s="32"/>
      <c r="B87" s="33"/>
      <c r="C87" s="37"/>
      <c r="D87" s="38"/>
    </row>
    <row r="88" spans="1:4">
      <c r="A88" s="29"/>
      <c r="B88" s="30"/>
      <c r="C88" s="35"/>
      <c r="D88" s="36"/>
    </row>
    <row r="89" spans="1:4">
      <c r="A89" s="32"/>
      <c r="B89" s="33"/>
      <c r="C89" s="37"/>
      <c r="D89" s="38"/>
    </row>
    <row r="90" spans="1:4">
      <c r="A90" s="45"/>
      <c r="B90" s="46"/>
      <c r="C90" s="43"/>
      <c r="D90" s="44"/>
    </row>
    <row r="91" spans="1:4">
      <c r="A91" s="32"/>
      <c r="B91" s="33"/>
      <c r="C91" s="37"/>
      <c r="D91" s="38"/>
    </row>
    <row r="92" spans="1:4">
      <c r="A92" s="29"/>
      <c r="B92" s="30"/>
      <c r="C92" s="35"/>
      <c r="D92" s="36"/>
    </row>
    <row r="93" spans="1:4">
      <c r="A93" s="32"/>
      <c r="B93" s="33"/>
      <c r="C93" s="37"/>
      <c r="D93" s="38"/>
    </row>
    <row r="94" spans="1:4">
      <c r="A94" s="29"/>
      <c r="B94" s="30"/>
      <c r="C94" s="35"/>
      <c r="D94" s="36"/>
    </row>
    <row r="95" spans="1:4">
      <c r="A95" s="32"/>
      <c r="B95" s="33"/>
      <c r="C95" s="37"/>
      <c r="D95" s="38"/>
    </row>
    <row r="96" spans="1:4">
      <c r="A96" s="29"/>
      <c r="B96" s="30"/>
      <c r="C96" s="35"/>
      <c r="D96" s="36"/>
    </row>
    <row r="97" spans="1:4">
      <c r="A97" s="32"/>
      <c r="B97" s="33"/>
      <c r="C97" s="37"/>
      <c r="D97" s="3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FCFDE-7079-41DD-9AC5-31C51A80A4BC}">
  <sheetPr codeName="Hoja4"/>
  <dimension ref="A1:M18"/>
  <sheetViews>
    <sheetView topLeftCell="J1" zoomScale="80" zoomScaleNormal="80" workbookViewId="0">
      <selection activeCell="D17" sqref="D17"/>
    </sheetView>
  </sheetViews>
  <sheetFormatPr defaultColWidth="11.109375" defaultRowHeight="13.5"/>
  <cols>
    <col min="1" max="1" width="19.88671875" customWidth="1"/>
    <col min="2" max="8" width="12.6640625" customWidth="1"/>
    <col min="9" max="12" width="13.5546875" customWidth="1"/>
  </cols>
  <sheetData>
    <row r="1" spans="1:13">
      <c r="A1" t="s">
        <v>86</v>
      </c>
    </row>
    <row r="3" spans="1:13">
      <c r="A3" t="s">
        <v>87</v>
      </c>
      <c r="B3" s="6" t="s">
        <v>13</v>
      </c>
      <c r="C3" s="6" t="s">
        <v>14</v>
      </c>
      <c r="D3" s="6" t="s">
        <v>15</v>
      </c>
      <c r="E3" s="6" t="s">
        <v>16</v>
      </c>
      <c r="F3" s="6" t="s">
        <v>17</v>
      </c>
      <c r="G3" s="6" t="s">
        <v>18</v>
      </c>
      <c r="H3" s="6" t="s">
        <v>19</v>
      </c>
      <c r="I3" s="6" t="s">
        <v>88</v>
      </c>
      <c r="J3" s="6" t="s">
        <v>89</v>
      </c>
      <c r="K3" s="6" t="s">
        <v>90</v>
      </c>
    </row>
    <row r="4" spans="1:13">
      <c r="A4" t="s">
        <v>91</v>
      </c>
      <c r="B4" s="8">
        <v>23822</v>
      </c>
      <c r="C4" s="8"/>
      <c r="D4" s="8"/>
      <c r="E4" s="8"/>
      <c r="F4" s="8"/>
      <c r="G4" s="8"/>
      <c r="H4" s="8"/>
      <c r="I4" s="8"/>
      <c r="J4" s="8"/>
      <c r="K4" s="8"/>
    </row>
    <row r="5" spans="1:13">
      <c r="A5" t="s">
        <v>92</v>
      </c>
      <c r="B5" s="8"/>
      <c r="C5" s="8"/>
      <c r="D5" s="8"/>
      <c r="E5" s="8"/>
      <c r="F5" s="8"/>
      <c r="G5" s="8"/>
      <c r="H5" s="8"/>
      <c r="I5" s="8"/>
      <c r="J5" s="8"/>
      <c r="K5" s="8"/>
    </row>
    <row r="6" spans="1:13">
      <c r="A6" t="s">
        <v>93</v>
      </c>
      <c r="B6" s="8"/>
      <c r="C6" s="8"/>
      <c r="D6" s="8"/>
      <c r="E6" s="8"/>
      <c r="F6" s="8">
        <v>8300</v>
      </c>
      <c r="G6" s="8"/>
      <c r="H6" s="8"/>
      <c r="I6" s="8">
        <v>4355</v>
      </c>
      <c r="J6" s="8"/>
      <c r="K6" s="8"/>
    </row>
    <row r="7" spans="1:13">
      <c r="A7" t="s">
        <v>94</v>
      </c>
      <c r="B7" s="8"/>
      <c r="C7" s="8"/>
      <c r="D7" s="8"/>
      <c r="E7" s="8"/>
      <c r="F7" s="8"/>
      <c r="G7" s="8"/>
      <c r="H7" s="8"/>
      <c r="I7" s="8"/>
      <c r="J7" s="8"/>
      <c r="K7" s="8"/>
    </row>
    <row r="8" spans="1:13">
      <c r="A8" t="s">
        <v>95</v>
      </c>
      <c r="B8" s="8"/>
      <c r="C8" s="8"/>
      <c r="D8" s="8"/>
      <c r="E8" s="8"/>
      <c r="F8" s="8"/>
      <c r="G8" s="8"/>
      <c r="H8" s="8"/>
      <c r="I8" s="8"/>
      <c r="J8" s="8">
        <v>14800</v>
      </c>
      <c r="K8" s="8"/>
    </row>
    <row r="9" spans="1:13">
      <c r="A9" t="s">
        <v>96</v>
      </c>
      <c r="B9" s="8">
        <v>270</v>
      </c>
      <c r="C9" s="8"/>
      <c r="D9" s="8"/>
      <c r="E9" s="8"/>
      <c r="F9" s="8"/>
      <c r="G9" s="8"/>
      <c r="H9" s="8"/>
      <c r="I9" s="8"/>
      <c r="J9" s="8"/>
      <c r="K9" s="8"/>
    </row>
    <row r="10" spans="1:13">
      <c r="A10" t="s">
        <v>97</v>
      </c>
      <c r="B10" s="8">
        <v>12</v>
      </c>
      <c r="C10" s="8"/>
      <c r="D10" s="8"/>
      <c r="E10" s="8"/>
      <c r="F10" s="8"/>
      <c r="G10" s="8"/>
      <c r="H10" s="8"/>
      <c r="I10" s="8"/>
      <c r="J10" s="8"/>
      <c r="K10" s="8"/>
    </row>
    <row r="11" spans="1:13">
      <c r="A11" t="s">
        <v>98</v>
      </c>
      <c r="B11" s="8">
        <f>Tabla6[[#Totals],[Descuento]]</f>
        <v>320</v>
      </c>
      <c r="C11" s="8">
        <f t="shared" ref="C11" si="0">160+20</f>
        <v>180</v>
      </c>
      <c r="D11" s="8"/>
      <c r="E11" s="8"/>
      <c r="F11" s="8"/>
      <c r="G11" s="8"/>
      <c r="H11" s="8"/>
      <c r="I11" s="8"/>
      <c r="J11" s="8"/>
      <c r="K11" s="8"/>
    </row>
    <row r="12" spans="1:13">
      <c r="A12" t="s">
        <v>99</v>
      </c>
      <c r="B12" s="8"/>
      <c r="C12" s="9"/>
      <c r="J12" s="8">
        <v>7900</v>
      </c>
    </row>
    <row r="13" spans="1:13">
      <c r="B13" s="9">
        <f>SUM(Tabla7[28/03/2022])</f>
        <v>24424</v>
      </c>
      <c r="C13" s="9">
        <f>SUM(Tabla7[29/03/2022])</f>
        <v>180</v>
      </c>
      <c r="D13" s="9">
        <f>SUM(Tabla7[30/03/2022])</f>
        <v>0</v>
      </c>
      <c r="E13" s="9">
        <f>SUM(Tabla7[31/03/2022])</f>
        <v>0</v>
      </c>
      <c r="F13" s="9">
        <f>SUM(Tabla7[01/04/2022])</f>
        <v>8300</v>
      </c>
      <c r="G13" s="9">
        <f>SUM(Tabla7[02/04/2022])</f>
        <v>0</v>
      </c>
      <c r="H13" s="9">
        <f>SUM(Tabla7[03/04/2022])</f>
        <v>0</v>
      </c>
      <c r="I13" s="9">
        <f>SUM(Tabla7[06/04/2022])</f>
        <v>4355</v>
      </c>
      <c r="J13" s="9">
        <f>SUM(Tabla7[11/03/2023])</f>
        <v>22700</v>
      </c>
      <c r="K13">
        <f>SUM(Tabla7[[#Totals],[28/03/2022]:[11/03/2023]])</f>
        <v>59959</v>
      </c>
    </row>
    <row r="15" spans="1:13">
      <c r="A15" t="s">
        <v>100</v>
      </c>
      <c r="B15" s="6" t="s">
        <v>13</v>
      </c>
      <c r="C15" s="6" t="s">
        <v>101</v>
      </c>
      <c r="D15" s="6" t="s">
        <v>102</v>
      </c>
      <c r="E15" s="6" t="s">
        <v>103</v>
      </c>
      <c r="F15" s="6" t="s">
        <v>104</v>
      </c>
      <c r="G15" s="6" t="s">
        <v>105</v>
      </c>
      <c r="H15" s="6" t="s">
        <v>106</v>
      </c>
      <c r="I15" s="6" t="s">
        <v>107</v>
      </c>
      <c r="J15" s="6" t="s">
        <v>108</v>
      </c>
      <c r="K15" s="6" t="s">
        <v>109</v>
      </c>
      <c r="L15" s="6" t="s">
        <v>110</v>
      </c>
      <c r="M15" s="6" t="s">
        <v>90</v>
      </c>
    </row>
    <row r="16" spans="1:13">
      <c r="A16" t="s">
        <v>111</v>
      </c>
      <c r="B16" s="22">
        <v>2260</v>
      </c>
      <c r="C16">
        <v>2311</v>
      </c>
      <c r="D16" s="68">
        <v>-258</v>
      </c>
    </row>
    <row r="17" spans="1:13">
      <c r="A17" t="s">
        <v>112</v>
      </c>
      <c r="B17" s="23">
        <v>2260</v>
      </c>
      <c r="C17">
        <v>2311</v>
      </c>
      <c r="D17" s="68">
        <v>-258</v>
      </c>
    </row>
    <row r="18" spans="1:13">
      <c r="B18" s="9">
        <f>SUM(Tabla5[28/03/2022])</f>
        <v>4520</v>
      </c>
      <c r="C18" s="9">
        <f>SUM(Tabla5[28/03/2023])</f>
        <v>4622</v>
      </c>
      <c r="D18" s="9">
        <f>SUM(Tabla5[28/03/2024])</f>
        <v>-516</v>
      </c>
      <c r="E18" s="9">
        <f>SUM(Tabla5[28/03/2025])</f>
        <v>0</v>
      </c>
      <c r="F18" s="9">
        <f>SUM(Tabla5[28/03/2026])</f>
        <v>0</v>
      </c>
      <c r="G18" s="9">
        <f>SUM(Tabla5[28/03/2027])</f>
        <v>0</v>
      </c>
      <c r="H18" s="9">
        <f>SUM(Tabla5[28/03/2028])</f>
        <v>0</v>
      </c>
      <c r="I18" s="9">
        <f>SUM(Tabla5[28/03/2029])</f>
        <v>0</v>
      </c>
      <c r="J18" s="9">
        <f>SUM(Tabla5[28/03/2030])</f>
        <v>0</v>
      </c>
      <c r="K18" s="9">
        <f>SUM(Tabla5[28/03/2031])</f>
        <v>0</v>
      </c>
      <c r="L18" s="9">
        <f>SUM(Tabla5[28/03/2032])</f>
        <v>0</v>
      </c>
      <c r="M18" s="8">
        <f>SUM(Tabla5[[#Totals],[28/03/2022]:[28/03/2032]])</f>
        <v>8626</v>
      </c>
    </row>
  </sheetData>
  <phoneticPr fontId="18" type="noConversion"/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3EDDA-31F3-478C-856A-F1E74982E990}">
  <sheetPr codeName="Hoja5"/>
  <dimension ref="A1:L72"/>
  <sheetViews>
    <sheetView tabSelected="1" topLeftCell="A42" workbookViewId="0">
      <selection activeCell="G51" sqref="G51"/>
    </sheetView>
  </sheetViews>
  <sheetFormatPr defaultColWidth="11.109375" defaultRowHeight="13.5"/>
  <cols>
    <col min="1" max="1" width="13.33203125" bestFit="1" customWidth="1"/>
    <col min="5" max="5" width="13.33203125" bestFit="1" customWidth="1"/>
  </cols>
  <sheetData>
    <row r="1" spans="1:9">
      <c r="A1" t="s">
        <v>113</v>
      </c>
      <c r="E1" t="s">
        <v>111</v>
      </c>
    </row>
    <row r="2" spans="1:9">
      <c r="A2" t="s">
        <v>114</v>
      </c>
      <c r="B2" t="s">
        <v>115</v>
      </c>
      <c r="C2" t="s">
        <v>116</v>
      </c>
      <c r="E2" t="s">
        <v>114</v>
      </c>
      <c r="F2" t="s">
        <v>115</v>
      </c>
      <c r="G2" t="s">
        <v>116</v>
      </c>
    </row>
    <row r="3" spans="1:9">
      <c r="A3" t="s">
        <v>117</v>
      </c>
      <c r="B3" s="8">
        <v>510</v>
      </c>
      <c r="C3" s="8">
        <f>450+270-10</f>
        <v>710</v>
      </c>
      <c r="E3" t="s">
        <v>117</v>
      </c>
      <c r="F3" s="8">
        <v>270</v>
      </c>
      <c r="G3" s="8">
        <f t="shared" ref="G3" si="0">540+270+190</f>
        <v>1000</v>
      </c>
    </row>
    <row r="4" spans="1:9">
      <c r="A4" t="s">
        <v>117</v>
      </c>
      <c r="B4" s="8">
        <f>270+165</f>
        <v>435</v>
      </c>
      <c r="C4" s="8"/>
      <c r="E4" t="s">
        <v>117</v>
      </c>
      <c r="F4" s="8">
        <v>270</v>
      </c>
      <c r="G4" s="8">
        <v>270</v>
      </c>
    </row>
    <row r="5" spans="1:9">
      <c r="A5" t="s">
        <v>118</v>
      </c>
      <c r="B5" s="8"/>
      <c r="C5" s="8">
        <v>-500</v>
      </c>
      <c r="E5" t="s">
        <v>119</v>
      </c>
      <c r="F5" s="8">
        <v>1685</v>
      </c>
      <c r="G5" s="8"/>
    </row>
    <row r="6" spans="1:9">
      <c r="A6" t="s">
        <v>120</v>
      </c>
      <c r="B6" s="8">
        <v>500</v>
      </c>
      <c r="C6" s="8"/>
      <c r="E6" t="s">
        <v>121</v>
      </c>
      <c r="F6" s="8"/>
      <c r="G6" s="8">
        <v>-1270</v>
      </c>
    </row>
    <row r="7" spans="1:9">
      <c r="A7" t="s">
        <v>117</v>
      </c>
      <c r="B7" s="8">
        <v>270</v>
      </c>
      <c r="C7" s="8">
        <f>150+190+170</f>
        <v>510</v>
      </c>
      <c r="E7" t="s">
        <v>122</v>
      </c>
      <c r="F7" s="8">
        <v>2020</v>
      </c>
      <c r="G7" s="8"/>
    </row>
    <row r="8" spans="1:9">
      <c r="B8" s="8">
        <v>-30</v>
      </c>
      <c r="C8" s="8">
        <v>30</v>
      </c>
      <c r="E8" t="s">
        <v>117</v>
      </c>
      <c r="F8" s="8">
        <f>190+270+10</f>
        <v>470</v>
      </c>
      <c r="G8" s="8"/>
    </row>
    <row r="9" spans="1:9">
      <c r="A9" t="s">
        <v>123</v>
      </c>
      <c r="B9" s="8">
        <v>-1685</v>
      </c>
      <c r="C9" s="8">
        <v>-750</v>
      </c>
      <c r="E9" t="s">
        <v>119</v>
      </c>
      <c r="F9" s="8">
        <f>1020+750</f>
        <v>1770</v>
      </c>
      <c r="G9" s="8"/>
    </row>
    <row r="10" spans="1:9">
      <c r="A10" t="s">
        <v>117</v>
      </c>
      <c r="B10" s="8">
        <f>8+22</f>
        <v>30</v>
      </c>
      <c r="C10" s="8">
        <f>270+190+270+170</f>
        <v>900</v>
      </c>
      <c r="E10" t="s">
        <v>124</v>
      </c>
      <c r="F10" s="8">
        <v>-6485</v>
      </c>
      <c r="G10" s="8"/>
    </row>
    <row r="11" spans="1:9">
      <c r="A11" t="s">
        <v>118</v>
      </c>
      <c r="B11" s="8"/>
      <c r="C11" s="8">
        <v>-150</v>
      </c>
      <c r="E11" t="s">
        <v>117</v>
      </c>
      <c r="F11" s="8">
        <f>190-165</f>
        <v>25</v>
      </c>
      <c r="G11" s="8">
        <v>165</v>
      </c>
    </row>
    <row r="12" spans="1:9">
      <c r="A12" t="s">
        <v>117</v>
      </c>
      <c r="B12" s="8">
        <f>270+270+270+180</f>
        <v>990</v>
      </c>
      <c r="C12" s="8"/>
      <c r="E12" t="s">
        <v>117</v>
      </c>
      <c r="F12" s="8">
        <f>270</f>
        <v>270</v>
      </c>
      <c r="G12" s="8">
        <v>300</v>
      </c>
    </row>
    <row r="13" spans="1:9">
      <c r="A13" t="s">
        <v>123</v>
      </c>
      <c r="B13" s="8">
        <v>-1020</v>
      </c>
      <c r="C13" s="8">
        <v>-750</v>
      </c>
      <c r="E13" t="s">
        <v>121</v>
      </c>
      <c r="F13" s="8"/>
      <c r="G13" s="8">
        <v>-465</v>
      </c>
    </row>
    <row r="14" spans="1:9">
      <c r="A14" t="s">
        <v>117</v>
      </c>
      <c r="B14" s="8">
        <f>1250+190</f>
        <v>1440</v>
      </c>
      <c r="C14" s="8">
        <f>540+354</f>
        <v>894</v>
      </c>
      <c r="E14" t="s">
        <v>120</v>
      </c>
      <c r="F14" s="8">
        <f>465+3615</f>
        <v>4080</v>
      </c>
      <c r="G14" s="8"/>
      <c r="I14" s="9"/>
    </row>
    <row r="15" spans="1:9">
      <c r="A15" t="s">
        <v>125</v>
      </c>
      <c r="B15" s="8">
        <v>-30</v>
      </c>
      <c r="C15" s="8"/>
      <c r="E15" t="s">
        <v>124</v>
      </c>
      <c r="F15" s="8">
        <v>-4355</v>
      </c>
      <c r="G15" s="8"/>
    </row>
    <row r="16" spans="1:9">
      <c r="A16" t="s">
        <v>126</v>
      </c>
      <c r="B16" s="8">
        <v>-250</v>
      </c>
      <c r="C16" s="8"/>
      <c r="E16" t="s">
        <v>117</v>
      </c>
      <c r="F16" s="8">
        <v>270</v>
      </c>
      <c r="G16" s="8"/>
    </row>
    <row r="17" spans="1:10">
      <c r="A17" t="s">
        <v>127</v>
      </c>
      <c r="B17" s="8">
        <f>270</f>
        <v>270</v>
      </c>
      <c r="C17" s="8">
        <f>190+300</f>
        <v>490</v>
      </c>
      <c r="E17" t="s">
        <v>128</v>
      </c>
      <c r="F17" s="8">
        <v>-10</v>
      </c>
      <c r="G17" s="8"/>
    </row>
    <row r="18" spans="1:10">
      <c r="A18" t="s">
        <v>125</v>
      </c>
      <c r="B18" s="8">
        <v>-30</v>
      </c>
      <c r="C18" s="8"/>
      <c r="E18" t="s">
        <v>117</v>
      </c>
      <c r="F18" s="8"/>
      <c r="G18" s="8">
        <f>300+270+165</f>
        <v>735</v>
      </c>
    </row>
    <row r="19" spans="1:10">
      <c r="A19" t="s">
        <v>117</v>
      </c>
      <c r="B19" s="8">
        <f>190+190+270+270</f>
        <v>920</v>
      </c>
      <c r="C19" s="8"/>
      <c r="E19" t="s">
        <v>117</v>
      </c>
      <c r="F19" s="8">
        <v>270</v>
      </c>
      <c r="G19" s="8">
        <v>270</v>
      </c>
    </row>
    <row r="20" spans="1:10">
      <c r="A20" t="s">
        <v>118</v>
      </c>
      <c r="B20" s="8"/>
      <c r="C20" s="8">
        <v>-1300</v>
      </c>
      <c r="E20" t="s">
        <v>129</v>
      </c>
      <c r="F20" s="8"/>
      <c r="G20" s="8">
        <v>270</v>
      </c>
      <c r="J20" s="9"/>
    </row>
    <row r="21" spans="1:10">
      <c r="A21" t="s">
        <v>120</v>
      </c>
      <c r="B21" s="8">
        <v>1300</v>
      </c>
      <c r="C21" s="8"/>
      <c r="E21" t="s">
        <v>117</v>
      </c>
      <c r="F21" s="8">
        <v>270</v>
      </c>
      <c r="G21" s="8">
        <v>270</v>
      </c>
      <c r="J21" s="9"/>
    </row>
    <row r="22" spans="1:10">
      <c r="A22" t="s">
        <v>123</v>
      </c>
      <c r="B22" s="8">
        <v>-3615</v>
      </c>
      <c r="C22" s="8"/>
      <c r="E22" t="s">
        <v>121</v>
      </c>
      <c r="F22" s="8"/>
      <c r="G22" s="8">
        <v>-1545</v>
      </c>
    </row>
    <row r="23" spans="1:10">
      <c r="A23" t="s">
        <v>117</v>
      </c>
      <c r="B23" s="8">
        <f>270+270-30+270+270-10</f>
        <v>1040</v>
      </c>
      <c r="C23" s="8">
        <f>810+300+270+270+10+270+190</f>
        <v>2120</v>
      </c>
      <c r="E23" t="s">
        <v>120</v>
      </c>
      <c r="F23" s="8">
        <v>1545</v>
      </c>
      <c r="G23" s="8"/>
      <c r="I23" s="9"/>
    </row>
    <row r="24" spans="1:10">
      <c r="A24" t="s">
        <v>118</v>
      </c>
      <c r="B24" s="8"/>
      <c r="C24" s="8">
        <f>-10-70</f>
        <v>-80</v>
      </c>
      <c r="E24" t="s">
        <v>117</v>
      </c>
      <c r="F24" s="8">
        <f>270+270+270</f>
        <v>810</v>
      </c>
      <c r="G24" s="8"/>
    </row>
    <row r="25" spans="1:10">
      <c r="A25" t="s">
        <v>117</v>
      </c>
      <c r="B25" s="8">
        <v>1010</v>
      </c>
      <c r="C25" s="8">
        <f>1420-134</f>
        <v>1286</v>
      </c>
      <c r="E25" t="s">
        <v>117</v>
      </c>
      <c r="F25" s="8">
        <v>540</v>
      </c>
      <c r="G25" s="8">
        <v>540</v>
      </c>
    </row>
    <row r="26" spans="1:10">
      <c r="A26" t="s">
        <v>120</v>
      </c>
      <c r="B26" s="8">
        <f>669+70</f>
        <v>739</v>
      </c>
      <c r="C26" s="8"/>
      <c r="F26" s="8"/>
      <c r="G26" s="8">
        <v>190</v>
      </c>
    </row>
    <row r="27" spans="1:10">
      <c r="A27" t="s">
        <v>125</v>
      </c>
      <c r="B27" s="8">
        <v>-30</v>
      </c>
      <c r="C27" s="8"/>
      <c r="F27" s="8"/>
      <c r="G27" s="8"/>
    </row>
    <row r="28" spans="1:10">
      <c r="A28" t="s">
        <v>130</v>
      </c>
      <c r="B28" s="8">
        <v>-200</v>
      </c>
      <c r="C28" s="8">
        <v>200</v>
      </c>
      <c r="F28" s="8"/>
      <c r="G28" s="8"/>
    </row>
    <row r="29" spans="1:10">
      <c r="A29" t="s">
        <v>117</v>
      </c>
      <c r="B29" s="8">
        <v>540</v>
      </c>
      <c r="C29" s="8">
        <v>270</v>
      </c>
      <c r="F29" s="8"/>
      <c r="G29" s="8"/>
    </row>
    <row r="30" spans="1:10">
      <c r="A30" t="s">
        <v>117</v>
      </c>
      <c r="B30" s="8">
        <v>270</v>
      </c>
      <c r="C30" s="8"/>
      <c r="F30" s="8"/>
      <c r="G30" s="8"/>
    </row>
    <row r="31" spans="1:10">
      <c r="A31" t="s">
        <v>131</v>
      </c>
      <c r="B31" s="8">
        <f>-847-173</f>
        <v>-1020</v>
      </c>
      <c r="C31" s="8">
        <v>-374</v>
      </c>
      <c r="F31" s="8"/>
      <c r="G31" s="8"/>
    </row>
    <row r="32" spans="1:10">
      <c r="A32" t="s">
        <v>117</v>
      </c>
      <c r="B32" s="8">
        <f>540+270</f>
        <v>810</v>
      </c>
      <c r="C32" s="8">
        <v>1080</v>
      </c>
      <c r="F32" s="8"/>
      <c r="G32" s="8"/>
    </row>
    <row r="33" spans="1:12">
      <c r="A33" t="s">
        <v>120</v>
      </c>
      <c r="B33" s="8">
        <v>4255</v>
      </c>
      <c r="C33" s="8">
        <v>270</v>
      </c>
      <c r="F33" s="8"/>
      <c r="G33" s="8"/>
    </row>
    <row r="34" spans="1:12">
      <c r="A34" t="s">
        <v>118</v>
      </c>
      <c r="B34" s="8"/>
      <c r="C34" s="8">
        <v>-3400</v>
      </c>
      <c r="F34" s="8"/>
      <c r="G34" s="8"/>
    </row>
    <row r="35" spans="1:12">
      <c r="A35" t="s">
        <v>120</v>
      </c>
      <c r="B35" s="8">
        <v>3400</v>
      </c>
      <c r="C35" s="8"/>
      <c r="F35" s="8"/>
      <c r="G35" s="8"/>
    </row>
    <row r="36" spans="1:12">
      <c r="A36" t="s">
        <v>117</v>
      </c>
      <c r="B36" s="8">
        <f>540+270</f>
        <v>810</v>
      </c>
      <c r="C36" s="8">
        <f>270+540</f>
        <v>810</v>
      </c>
      <c r="F36" s="8"/>
      <c r="G36" s="8"/>
    </row>
    <row r="37" spans="1:12">
      <c r="A37" t="s">
        <v>132</v>
      </c>
      <c r="B37" s="8">
        <v>-2542</v>
      </c>
      <c r="C37" s="8"/>
      <c r="F37" s="8"/>
      <c r="G37" s="8"/>
    </row>
    <row r="38" spans="1:12">
      <c r="A38" t="s">
        <v>133</v>
      </c>
      <c r="B38" s="8"/>
      <c r="C38" s="8">
        <v>-686</v>
      </c>
      <c r="F38" s="8"/>
      <c r="G38" s="8"/>
    </row>
    <row r="39" spans="1:12">
      <c r="A39" t="s">
        <v>134</v>
      </c>
      <c r="B39" s="8">
        <v>-7800</v>
      </c>
      <c r="C39" s="8">
        <v>-100</v>
      </c>
      <c r="F39" s="8"/>
      <c r="G39" s="8"/>
    </row>
    <row r="40" spans="1:12">
      <c r="B40" s="8"/>
      <c r="C40" s="8">
        <v>890</v>
      </c>
      <c r="F40" s="8"/>
      <c r="G40" s="8"/>
    </row>
    <row r="41" spans="1:12">
      <c r="A41" t="s">
        <v>129</v>
      </c>
      <c r="B41" s="8">
        <v>810</v>
      </c>
      <c r="C41" s="8">
        <f>573+270</f>
        <v>843</v>
      </c>
      <c r="F41" s="8"/>
      <c r="G41" s="8"/>
    </row>
    <row r="42" spans="1:12">
      <c r="A42" t="s">
        <v>135</v>
      </c>
      <c r="B42" s="8">
        <v>2500</v>
      </c>
      <c r="C42" s="8">
        <v>-2500</v>
      </c>
      <c r="F42" s="8"/>
      <c r="G42" s="8"/>
    </row>
    <row r="43" spans="1:12">
      <c r="A43" t="s">
        <v>117</v>
      </c>
      <c r="B43" s="8">
        <v>810</v>
      </c>
      <c r="C43" s="8">
        <v>1020</v>
      </c>
      <c r="F43" s="8">
        <v>540</v>
      </c>
      <c r="G43" s="8"/>
    </row>
    <row r="44" spans="1:12">
      <c r="A44" t="s">
        <v>117</v>
      </c>
      <c r="B44" s="8">
        <f>250+270+270+260</f>
        <v>1050</v>
      </c>
      <c r="C44" s="8">
        <f>270-130+23+270+540</f>
        <v>973</v>
      </c>
      <c r="D44" s="9"/>
      <c r="F44" s="8">
        <v>540</v>
      </c>
      <c r="G44" s="8"/>
      <c r="H44" s="9"/>
      <c r="J44" s="9"/>
      <c r="K44" s="9"/>
      <c r="L44" s="9"/>
    </row>
    <row r="45" spans="1:12">
      <c r="A45" t="s">
        <v>136</v>
      </c>
      <c r="B45" s="8">
        <f>540+36</f>
        <v>576</v>
      </c>
      <c r="C45" s="8">
        <f>730-36</f>
        <v>694</v>
      </c>
      <c r="D45" s="9"/>
      <c r="E45" t="s">
        <v>137</v>
      </c>
      <c r="F45" s="8">
        <f>-4255</f>
        <v>-4255</v>
      </c>
      <c r="G45" s="8"/>
    </row>
    <row r="46" spans="1:12">
      <c r="A46" t="s">
        <v>138</v>
      </c>
      <c r="B46" s="8">
        <f>400+3428</f>
        <v>3828</v>
      </c>
      <c r="C46" s="8">
        <f>-3400</f>
        <v>-3400</v>
      </c>
      <c r="E46" t="s">
        <v>137</v>
      </c>
      <c r="F46" s="8">
        <v>-540</v>
      </c>
      <c r="G46" s="8">
        <v>-730</v>
      </c>
    </row>
    <row r="47" spans="1:12">
      <c r="A47" t="s">
        <v>139</v>
      </c>
      <c r="B47" s="8">
        <v>-10861</v>
      </c>
      <c r="C47" s="8">
        <v>240</v>
      </c>
      <c r="E47" t="s">
        <v>117</v>
      </c>
      <c r="F47" s="8">
        <v>270</v>
      </c>
      <c r="G47" s="8">
        <f>70+270+271</f>
        <v>611</v>
      </c>
    </row>
    <row r="48" spans="1:12">
      <c r="A48" t="s">
        <v>117</v>
      </c>
      <c r="B48" s="8">
        <f>8650-104</f>
        <v>8546</v>
      </c>
      <c r="C48" s="8">
        <v>-140</v>
      </c>
      <c r="E48" t="s">
        <v>140</v>
      </c>
      <c r="F48" s="8">
        <f>-160+20</f>
        <v>-140</v>
      </c>
      <c r="G48" s="8">
        <v>270</v>
      </c>
    </row>
    <row r="49" spans="2:7">
      <c r="B49" s="8">
        <v>790</v>
      </c>
      <c r="C49" s="8">
        <v>110</v>
      </c>
      <c r="F49" s="8">
        <f>1151+410</f>
        <v>1561</v>
      </c>
      <c r="G49" s="8">
        <v>270</v>
      </c>
    </row>
    <row r="50" spans="2:7">
      <c r="B50" s="8">
        <v>50</v>
      </c>
      <c r="C50" s="8">
        <v>270</v>
      </c>
      <c r="E50" t="s">
        <v>137</v>
      </c>
      <c r="F50" s="8">
        <v>-1691</v>
      </c>
      <c r="G50" s="8">
        <v>-1151</v>
      </c>
    </row>
    <row r="51" spans="2:7">
      <c r="B51" s="8">
        <v>270</v>
      </c>
      <c r="C51" s="8">
        <v>540</v>
      </c>
      <c r="F51" s="8"/>
      <c r="G51" s="8"/>
    </row>
    <row r="52" spans="2:7">
      <c r="B52" s="8">
        <f>250+260</f>
        <v>510</v>
      </c>
      <c r="C52" s="8">
        <v>270</v>
      </c>
      <c r="F52" s="8"/>
      <c r="G52" s="8"/>
    </row>
    <row r="53" spans="2:7" hidden="1">
      <c r="B53" s="8"/>
      <c r="C53" s="8"/>
      <c r="F53" s="8"/>
      <c r="G53" s="8"/>
    </row>
    <row r="54" spans="2:7" hidden="1">
      <c r="B54" s="8"/>
      <c r="C54" s="8"/>
      <c r="F54" s="8"/>
      <c r="G54" s="8"/>
    </row>
    <row r="55" spans="2:7" hidden="1">
      <c r="B55" s="8"/>
      <c r="C55" s="8"/>
      <c r="F55" s="8"/>
      <c r="G55" s="8"/>
    </row>
    <row r="56" spans="2:7" hidden="1">
      <c r="B56" s="8"/>
      <c r="C56" s="8"/>
      <c r="F56" s="8"/>
      <c r="G56" s="8"/>
    </row>
    <row r="57" spans="2:7" hidden="1">
      <c r="B57" s="8"/>
      <c r="C57" s="8"/>
      <c r="F57" s="8"/>
      <c r="G57" s="8"/>
    </row>
    <row r="58" spans="2:7" hidden="1">
      <c r="B58" s="8"/>
      <c r="C58" s="8"/>
      <c r="F58" s="8"/>
      <c r="G58" s="8"/>
    </row>
    <row r="59" spans="2:7" hidden="1">
      <c r="B59" s="8"/>
      <c r="C59" s="8"/>
      <c r="F59" s="8"/>
      <c r="G59" s="8"/>
    </row>
    <row r="60" spans="2:7" hidden="1">
      <c r="B60" s="8"/>
      <c r="C60" s="8"/>
      <c r="F60" s="8"/>
      <c r="G60" s="8"/>
    </row>
    <row r="61" spans="2:7" hidden="1">
      <c r="B61" s="8"/>
      <c r="C61" s="8"/>
      <c r="F61" s="8"/>
      <c r="G61" s="8"/>
    </row>
    <row r="62" spans="2:7" hidden="1">
      <c r="B62" s="8"/>
      <c r="C62" s="8"/>
      <c r="F62" s="8"/>
      <c r="G62" s="8"/>
    </row>
    <row r="63" spans="2:7" hidden="1">
      <c r="B63" s="8"/>
      <c r="C63" s="8"/>
      <c r="F63" s="8"/>
      <c r="G63" s="8"/>
    </row>
    <row r="64" spans="2:7">
      <c r="B64" s="8">
        <v>270</v>
      </c>
      <c r="C64" s="8">
        <v>220</v>
      </c>
      <c r="F64" s="9">
        <f>SUBTOTAL(109,Tabla15[Banco])</f>
        <v>0</v>
      </c>
      <c r="G64" s="9">
        <f>SUBTOTAL(109,Tabla15[Efecitvo])</f>
        <v>0</v>
      </c>
    </row>
    <row r="65" spans="2:7">
      <c r="B65" s="8">
        <v>1500</v>
      </c>
      <c r="C65" s="8">
        <v>810</v>
      </c>
      <c r="F65" s="9"/>
      <c r="G65" s="9"/>
    </row>
    <row r="66" spans="2:7">
      <c r="B66" s="8">
        <v>270</v>
      </c>
      <c r="C66" s="8">
        <f>540+250</f>
        <v>790</v>
      </c>
    </row>
    <row r="67" spans="2:7">
      <c r="B67" s="8">
        <f>500+1691</f>
        <v>2191</v>
      </c>
      <c r="C67" s="8">
        <f>-(1500+500+500+200+410)</f>
        <v>-3110</v>
      </c>
    </row>
    <row r="68" spans="2:7">
      <c r="B68" s="9">
        <f>SUM(Tabla1[Banco])</f>
        <v>14397</v>
      </c>
      <c r="C68" s="9">
        <f>SUBTOTAL(109,Tabla1[Efecitvo])</f>
        <v>0</v>
      </c>
      <c r="E68" s="9"/>
    </row>
    <row r="69" spans="2:7">
      <c r="B69" s="9"/>
    </row>
    <row r="71" spans="2:7">
      <c r="C71" s="9"/>
    </row>
    <row r="72" spans="2:7">
      <c r="D72" s="9"/>
      <c r="G72" s="9">
        <f>Tabla1[[#Totals],[Efecitvo]]+Tabla15[[#Totals],[Banco]]+Tabla15[[#Totals],[Efecitvo]]</f>
        <v>0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45084-6B90-4490-AECC-9EE450BE8E22}">
  <sheetPr codeName="Hoja6"/>
  <dimension ref="A2:L25"/>
  <sheetViews>
    <sheetView zoomScaleNormal="100" workbookViewId="0">
      <selection activeCell="D12" sqref="D12"/>
    </sheetView>
  </sheetViews>
  <sheetFormatPr defaultColWidth="11.109375" defaultRowHeight="13.5"/>
  <cols>
    <col min="4" max="4" width="14.33203125" bestFit="1" customWidth="1"/>
    <col min="5" max="5" width="17.88671875" customWidth="1"/>
    <col min="6" max="6" width="11.77734375" bestFit="1" customWidth="1"/>
    <col min="7" max="7" width="1.77734375" customWidth="1"/>
    <col min="9" max="9" width="1.21875" customWidth="1"/>
    <col min="10" max="10" width="13.33203125" bestFit="1" customWidth="1"/>
  </cols>
  <sheetData>
    <row r="2" spans="1:12" ht="15.75">
      <c r="A2" t="s">
        <v>141</v>
      </c>
      <c r="B2" t="s">
        <v>142</v>
      </c>
      <c r="C2" t="s">
        <v>34</v>
      </c>
      <c r="D2" t="s">
        <v>143</v>
      </c>
      <c r="E2" t="s">
        <v>144</v>
      </c>
      <c r="F2" t="s">
        <v>62</v>
      </c>
    </row>
    <row r="3" spans="1:12" ht="15.75">
      <c r="A3" t="s">
        <v>113</v>
      </c>
      <c r="B3" s="8">
        <v>1731</v>
      </c>
      <c r="C3" s="10">
        <f>B10/2</f>
        <v>10605.5</v>
      </c>
      <c r="D3" s="9">
        <f>B13/2</f>
        <v>4313</v>
      </c>
      <c r="E3" t="s">
        <v>112</v>
      </c>
      <c r="F3" s="8">
        <f>770+150+500-320+50+200</f>
        <v>1350</v>
      </c>
    </row>
    <row r="4" spans="1:12" ht="15.75">
      <c r="A4" t="s">
        <v>111</v>
      </c>
      <c r="B4" s="8">
        <v>1731</v>
      </c>
      <c r="C4" s="10">
        <f>B10/2</f>
        <v>10605.5</v>
      </c>
      <c r="D4" s="9">
        <f>B13/2</f>
        <v>4313</v>
      </c>
      <c r="E4" t="s">
        <v>145</v>
      </c>
      <c r="F4" s="8">
        <v>270</v>
      </c>
      <c r="H4" s="10"/>
    </row>
    <row r="5" spans="1:12" ht="15.75">
      <c r="B5" s="9">
        <f>SUM(B3:B4)</f>
        <v>3462</v>
      </c>
      <c r="E5" t="s">
        <v>146</v>
      </c>
      <c r="F5" s="8">
        <v>30</v>
      </c>
    </row>
    <row r="6" spans="1:12" ht="15.75">
      <c r="F6" s="8"/>
    </row>
    <row r="7" spans="1:12" ht="15.75">
      <c r="F7" s="8"/>
      <c r="K7" s="9"/>
      <c r="L7" s="9"/>
    </row>
    <row r="8" spans="1:12" ht="15.75">
      <c r="A8" s="1" t="s">
        <v>86</v>
      </c>
      <c r="B8" s="11">
        <f>'Gastos '!K13</f>
        <v>59959</v>
      </c>
      <c r="F8" s="8"/>
    </row>
    <row r="9" spans="1:12" ht="15.75">
      <c r="A9" s="1" t="s">
        <v>0</v>
      </c>
      <c r="B9" s="11">
        <f>Tabla6[[#Totals],[Ventas totales]]+'Ventas como provedor Marzo '!$P$19</f>
        <v>81170</v>
      </c>
      <c r="F9" s="9">
        <f>SUM(Tabla3[Cantidad])</f>
        <v>1650</v>
      </c>
    </row>
    <row r="10" spans="1:12" ht="15.75">
      <c r="A10" s="1" t="s">
        <v>34</v>
      </c>
      <c r="B10" s="11">
        <f>B9-B8</f>
        <v>21211</v>
      </c>
    </row>
    <row r="11" spans="1:12" ht="15.75"/>
    <row r="12" spans="1:12" ht="15.75">
      <c r="A12" s="1" t="s">
        <v>147</v>
      </c>
      <c r="B12" s="11">
        <f>B9+B5</f>
        <v>84632</v>
      </c>
    </row>
    <row r="13" spans="1:12" ht="15.75">
      <c r="A13" s="1" t="s">
        <v>148</v>
      </c>
      <c r="B13" s="24">
        <f>Tabla5[[#Totals],[Total]]</f>
        <v>8626</v>
      </c>
      <c r="D13" s="9"/>
    </row>
    <row r="14" spans="1:12" ht="15.75">
      <c r="A14" s="1" t="s">
        <v>149</v>
      </c>
      <c r="B14" s="11">
        <f>B12-B8-B13-Tabla3[[#Totals],[Cantidad]]</f>
        <v>14397</v>
      </c>
      <c r="D14" s="9"/>
      <c r="E14" s="19"/>
      <c r="F14" s="10"/>
    </row>
    <row r="15" spans="1:12" ht="15.75">
      <c r="C15" s="8"/>
      <c r="E15" s="9"/>
      <c r="F15" s="9"/>
    </row>
    <row r="16" spans="1:12" ht="15.75">
      <c r="A16" t="s">
        <v>150</v>
      </c>
      <c r="B16" s="8">
        <f>Tabla1[[#Totals],[Efecitvo]]+Tabla15[[#Totals],[Efecitvo]]</f>
        <v>0</v>
      </c>
      <c r="C16" s="8"/>
      <c r="D16" s="9"/>
      <c r="E16" s="9"/>
      <c r="F16" s="10"/>
    </row>
    <row r="17" spans="1:8" ht="15.75">
      <c r="A17" t="s">
        <v>115</v>
      </c>
      <c r="B17" s="8">
        <f>Tabla1[[#Totals],[Banco]]+Tabla15[[#Totals],[Banco]]</f>
        <v>14397</v>
      </c>
      <c r="D17" s="9"/>
      <c r="E17" s="8"/>
      <c r="F17" s="9"/>
      <c r="H17" s="10"/>
    </row>
    <row r="18" spans="1:8" ht="15.75">
      <c r="B18" s="9">
        <f>SUM(B16:B17)</f>
        <v>14397</v>
      </c>
      <c r="C18" s="8"/>
      <c r="D18" s="9"/>
      <c r="E18" s="9"/>
      <c r="F18" s="9"/>
      <c r="H18" s="10"/>
    </row>
    <row r="19" spans="1:8" ht="15.75">
      <c r="C19" s="8"/>
      <c r="D19" s="9"/>
      <c r="E19" s="9"/>
      <c r="F19" s="25"/>
    </row>
    <row r="20" spans="1:8" ht="15.75">
      <c r="C20" s="9"/>
      <c r="E20" s="9"/>
      <c r="F20" s="26"/>
    </row>
    <row r="21" spans="1:8" ht="15.75">
      <c r="E21" s="9"/>
    </row>
    <row r="22" spans="1:8" ht="15.75"/>
    <row r="23" spans="1:8" ht="15.75"/>
    <row r="24" spans="1:8" ht="15.75"/>
    <row r="25" spans="1:8" ht="15.75"/>
  </sheetData>
  <conditionalFormatting sqref="C3:C4 B10">
    <cfRule type="cellIs" dxfId="3" priority="2" operator="greaterThan">
      <formula>$B$4</formula>
    </cfRule>
    <cfRule type="cellIs" dxfId="2" priority="3" operator="lessThanOrEqual">
      <formula>$B$3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483D3-BEAF-499C-95D2-B6A3690EEBEF}">
  <sheetPr codeName="Hoja7"/>
  <dimension ref="A2:L15"/>
  <sheetViews>
    <sheetView workbookViewId="0">
      <selection activeCell="I14" sqref="I14"/>
    </sheetView>
  </sheetViews>
  <sheetFormatPr defaultColWidth="11.109375" defaultRowHeight="13.5"/>
  <cols>
    <col min="12" max="12" width="12.109375" bestFit="1" customWidth="1"/>
  </cols>
  <sheetData>
    <row r="2" spans="1:12">
      <c r="A2" t="s">
        <v>151</v>
      </c>
      <c r="H2" t="s">
        <v>152</v>
      </c>
    </row>
    <row r="4" spans="1:12">
      <c r="A4" t="s">
        <v>153</v>
      </c>
      <c r="B4">
        <v>25</v>
      </c>
      <c r="D4" t="s">
        <v>32</v>
      </c>
      <c r="E4" s="13">
        <f>B7/B4</f>
        <v>123.8</v>
      </c>
      <c r="H4" t="s">
        <v>153</v>
      </c>
      <c r="I4">
        <v>50</v>
      </c>
      <c r="K4" t="s">
        <v>32</v>
      </c>
      <c r="L4" s="15">
        <f>I7/I4</f>
        <v>166</v>
      </c>
    </row>
    <row r="5" spans="1:12">
      <c r="A5" t="s">
        <v>154</v>
      </c>
      <c r="B5">
        <v>115</v>
      </c>
      <c r="D5" t="s">
        <v>117</v>
      </c>
      <c r="E5" s="13">
        <v>270</v>
      </c>
      <c r="H5" t="s">
        <v>154</v>
      </c>
      <c r="I5" s="15">
        <v>160</v>
      </c>
      <c r="K5" t="s">
        <v>117</v>
      </c>
      <c r="L5" s="15">
        <v>270</v>
      </c>
    </row>
    <row r="6" spans="1:12">
      <c r="A6" t="s">
        <v>155</v>
      </c>
      <c r="B6" s="14">
        <v>220</v>
      </c>
      <c r="D6" t="s">
        <v>34</v>
      </c>
      <c r="E6" s="13">
        <f>E5-E4</f>
        <v>146.19999999999999</v>
      </c>
      <c r="H6" t="s">
        <v>155</v>
      </c>
      <c r="I6" s="15">
        <v>300</v>
      </c>
      <c r="K6" t="s">
        <v>34</v>
      </c>
      <c r="L6" s="15">
        <f>L5-L4</f>
        <v>104</v>
      </c>
    </row>
    <row r="7" spans="1:12">
      <c r="A7" t="s">
        <v>142</v>
      </c>
      <c r="B7" s="14">
        <f>B4*B5+B6</f>
        <v>3095</v>
      </c>
      <c r="D7" t="s">
        <v>156</v>
      </c>
      <c r="E7" s="13">
        <f>E6*B4</f>
        <v>3654.9999999999995</v>
      </c>
      <c r="H7" t="s">
        <v>142</v>
      </c>
      <c r="I7" s="15">
        <f>I4*I5+I6</f>
        <v>8300</v>
      </c>
      <c r="K7" t="s">
        <v>156</v>
      </c>
      <c r="L7" s="15">
        <f>L6*I4</f>
        <v>5200</v>
      </c>
    </row>
    <row r="10" spans="1:12">
      <c r="H10" t="s">
        <v>152</v>
      </c>
    </row>
    <row r="12" spans="1:12">
      <c r="H12" t="s">
        <v>153</v>
      </c>
      <c r="I12">
        <v>48</v>
      </c>
      <c r="K12" t="s">
        <v>32</v>
      </c>
      <c r="L12" s="15">
        <f>I15/I12</f>
        <v>181.25</v>
      </c>
    </row>
    <row r="13" spans="1:12">
      <c r="H13" t="s">
        <v>154</v>
      </c>
      <c r="I13" s="15">
        <v>175</v>
      </c>
      <c r="K13" t="s">
        <v>117</v>
      </c>
      <c r="L13" s="15">
        <v>270</v>
      </c>
    </row>
    <row r="14" spans="1:12">
      <c r="D14" s="9"/>
      <c r="E14" s="9"/>
      <c r="H14" t="s">
        <v>155</v>
      </c>
      <c r="I14" s="15">
        <v>300</v>
      </c>
      <c r="K14" t="s">
        <v>34</v>
      </c>
      <c r="L14" s="15">
        <f>L13-L12</f>
        <v>88.75</v>
      </c>
    </row>
    <row r="15" spans="1:12">
      <c r="E15" s="10"/>
      <c r="H15" t="s">
        <v>142</v>
      </c>
      <c r="I15" s="15">
        <f>I12*I13+I14</f>
        <v>8700</v>
      </c>
      <c r="K15" t="s">
        <v>156</v>
      </c>
      <c r="L15" s="15">
        <f>L14*I12</f>
        <v>4260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EA25CC0A0AC24199CDC46C25B8B0BC" ma:contentTypeVersion="10" ma:contentTypeDescription="Create a new document." ma:contentTypeScope="" ma:versionID="e3b47856d4cf355c0dacb39e1084d14f">
  <xsd:schema xmlns:xsd="http://www.w3.org/2001/XMLSchema" xmlns:xs="http://www.w3.org/2001/XMLSchema" xmlns:p="http://schemas.microsoft.com/office/2006/metadata/properties" xmlns:ns1="http://schemas.microsoft.com/sharepoint/v3" xmlns:ns2="6dc4bcd6-49db-4c07-9060-8acfc67cef9f" xmlns:ns3="fb0879af-3eba-417a-a55a-ffe6dcd6ca77" targetNamespace="http://schemas.microsoft.com/office/2006/metadata/properties" ma:root="true" ma:fieldsID="a845a615265fdb1f7b12cc65ac20ecbd" ns1:_="" ns2:_="" ns3:_="">
    <xsd:import namespace="http://schemas.microsoft.com/sharepoint/v3"/>
    <xsd:import namespace="6dc4bcd6-49db-4c07-9060-8acfc67cef9f"/>
    <xsd:import namespace="fb0879af-3eba-417a-a55a-ffe6dcd6ca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3:LastSharedByUser" minOccurs="0"/>
                <xsd:element ref="ns3:LastSharedByTime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4bcd6-49db-4c07-9060-8acfc67ce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MediaServiceAutoTags" ma:internalName="MediaServiceAutoTag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0879af-3eba-417a-a55a-ffe6dcd6ca7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3" nillable="true" ma:displayName="Last Shared By User" ma:hidden="true" ma:internalName="LastSharedByUser" ma:readOnly="true">
      <xsd:simpleType>
        <xsd:restriction base="dms:Note"/>
      </xsd:simpleType>
    </xsd:element>
    <xsd:element name="LastSharedByTime" ma:index="14" nillable="true" ma:displayName="Last Shared By Time" ma:hidden="true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E17AD16-C3BD-472A-B362-8A85F95573CA}"/>
</file>

<file path=customXml/itemProps2.xml><?xml version="1.0" encoding="utf-8"?>
<ds:datastoreItem xmlns:ds="http://schemas.openxmlformats.org/officeDocument/2006/customXml" ds:itemID="{E1227E31-123E-44EE-A422-2705DF3A5917}"/>
</file>

<file path=customXml/itemProps3.xml><?xml version="1.0" encoding="utf-8"?>
<ds:datastoreItem xmlns:ds="http://schemas.openxmlformats.org/officeDocument/2006/customXml" ds:itemID="{81F3298A-223B-42B2-9FEF-AB506EA6B5F6}"/>
</file>

<file path=docProps/app.xml><?xml version="1.0" encoding="utf-8"?>
<Properties xmlns="http://schemas.openxmlformats.org/officeDocument/2006/extended-properties" xmlns:vt="http://schemas.openxmlformats.org/officeDocument/2006/docPropsVTypes">
  <Template>TM78443713</Template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GONZALEZ GUZMAN, JULIO OLAF</cp:lastModifiedBy>
  <cp:revision/>
  <dcterms:created xsi:type="dcterms:W3CDTF">2018-08-16T20:38:17Z</dcterms:created>
  <dcterms:modified xsi:type="dcterms:W3CDTF">2022-04-25T01:25:02Z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0x010100DEEA25CC0A0AC24199CDC46C25B8B0BC</vt:lpwstr>
  </property>
</Properties>
</file>