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Ideas Frescas/Sthelare/CSV graficas/"/>
    </mc:Choice>
  </mc:AlternateContent>
  <xr:revisionPtr revIDLastSave="0" documentId="8_{8C2A3F58-29FE-4D1A-BD6E-6D276207E0F1}" xr6:coauthVersionLast="47" xr6:coauthVersionMax="47" xr10:uidLastSave="{00000000-0000-0000-0000-000000000000}"/>
  <bookViews>
    <workbookView xWindow="-110" yWindow="-110" windowWidth="19420" windowHeight="11020" xr2:uid="{6E5014E3-0CA0-4FB5-97A1-5A319FDFEADE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0" i="1" l="1"/>
  <c r="X5" i="1" s="1"/>
  <c r="O50" i="1"/>
  <c r="O67" i="1"/>
  <c r="O83" i="1"/>
  <c r="O100" i="1"/>
  <c r="J100" i="1"/>
  <c r="J83" i="1"/>
  <c r="J67" i="1"/>
  <c r="J50" i="1"/>
  <c r="E83" i="1"/>
  <c r="E67" i="1"/>
  <c r="E50" i="1"/>
  <c r="T5" i="1"/>
  <c r="X4" i="1" s="1"/>
  <c r="O5" i="1"/>
  <c r="O14" i="1"/>
  <c r="O23" i="1"/>
  <c r="O32" i="1"/>
  <c r="J32" i="1"/>
  <c r="J23" i="1"/>
  <c r="J14" i="1"/>
  <c r="J5" i="1"/>
  <c r="E23" i="1"/>
  <c r="E14" i="1"/>
  <c r="E5" i="1"/>
  <c r="E11" i="1"/>
  <c r="E27" i="1"/>
  <c r="E25" i="1"/>
  <c r="E18" i="1"/>
  <c r="E16" i="1"/>
  <c r="E9" i="1"/>
  <c r="E7" i="1"/>
  <c r="J9" i="1"/>
  <c r="J7" i="1"/>
  <c r="J18" i="1"/>
  <c r="J16" i="1"/>
  <c r="J27" i="1"/>
  <c r="J25" i="1"/>
  <c r="J36" i="1"/>
  <c r="J34" i="1"/>
  <c r="O36" i="1"/>
  <c r="O34" i="1"/>
  <c r="O27" i="1"/>
  <c r="O25" i="1"/>
  <c r="O18" i="1"/>
  <c r="O16" i="1"/>
  <c r="O9" i="1"/>
  <c r="O7" i="1"/>
  <c r="T9" i="1"/>
  <c r="T7" i="1"/>
  <c r="W4" i="1" s="1"/>
  <c r="J104" i="1"/>
  <c r="J102" i="1"/>
  <c r="J71" i="1"/>
  <c r="J69" i="1"/>
  <c r="J87" i="1"/>
  <c r="J85" i="1"/>
  <c r="E87" i="1"/>
  <c r="E85" i="1"/>
  <c r="E71" i="1"/>
  <c r="E69" i="1"/>
  <c r="T54" i="1"/>
  <c r="T52" i="1"/>
  <c r="W5" i="1" s="1"/>
  <c r="O54" i="1"/>
  <c r="O52" i="1"/>
  <c r="J54" i="1"/>
  <c r="J52" i="1"/>
  <c r="E54" i="1"/>
  <c r="E52" i="1"/>
  <c r="J3" i="2"/>
  <c r="J4" i="2"/>
  <c r="J5" i="2"/>
  <c r="J6" i="2"/>
  <c r="J7" i="2"/>
  <c r="J8" i="2"/>
  <c r="J9" i="2"/>
  <c r="J10" i="2"/>
  <c r="J11" i="2"/>
  <c r="J12" i="2"/>
  <c r="J13" i="2"/>
  <c r="J2" i="2"/>
  <c r="S74" i="1"/>
  <c r="S73" i="1"/>
  <c r="S72" i="1"/>
  <c r="S71" i="1"/>
  <c r="S70" i="1"/>
  <c r="S69" i="1"/>
  <c r="S68" i="1"/>
  <c r="S67" i="1"/>
  <c r="S65" i="1"/>
  <c r="S64" i="1"/>
  <c r="S63" i="1"/>
  <c r="S62" i="1"/>
  <c r="Q44" i="1"/>
  <c r="S44" i="1"/>
  <c r="R44" i="1"/>
  <c r="L94" i="1"/>
  <c r="O104" i="1" s="1"/>
  <c r="N94" i="1"/>
  <c r="M94" i="1"/>
  <c r="L77" i="1"/>
  <c r="O87" i="1" s="1"/>
  <c r="N77" i="1"/>
  <c r="O85" i="1" s="1"/>
  <c r="M77" i="1"/>
  <c r="L61" i="1"/>
  <c r="N61" i="1"/>
  <c r="O69" i="1" s="1"/>
  <c r="M61" i="1"/>
  <c r="L62" i="1"/>
  <c r="O71" i="1" s="1"/>
  <c r="L44" i="1"/>
  <c r="N44" i="1"/>
  <c r="M44" i="1"/>
  <c r="O102" i="1"/>
  <c r="H3" i="2"/>
  <c r="H4" i="2"/>
  <c r="H5" i="2"/>
  <c r="H6" i="2"/>
  <c r="H7" i="2"/>
  <c r="H8" i="2"/>
  <c r="H9" i="2"/>
  <c r="H10" i="2"/>
  <c r="H11" i="2"/>
  <c r="H12" i="2"/>
  <c r="H13" i="2"/>
  <c r="H2" i="2"/>
  <c r="AF9" i="1"/>
  <c r="AE9" i="1"/>
  <c r="AD9" i="1"/>
  <c r="AC9" i="1"/>
  <c r="AB9" i="1"/>
  <c r="AA9" i="1"/>
  <c r="AG9" i="1" l="1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  <c r="F6" i="2"/>
  <c r="D6" i="2"/>
  <c r="F5" i="2"/>
  <c r="D5" i="2"/>
  <c r="F4" i="2"/>
  <c r="D4" i="2"/>
  <c r="F3" i="2"/>
  <c r="D3" i="2"/>
  <c r="F2" i="2"/>
  <c r="D2" i="2"/>
</calcChain>
</file>

<file path=xl/sharedStrings.xml><?xml version="1.0" encoding="utf-8"?>
<sst xmlns="http://schemas.openxmlformats.org/spreadsheetml/2006/main" count="495" uniqueCount="63">
  <si>
    <t>2022 Marzo</t>
  </si>
  <si>
    <t>Proyecto</t>
  </si>
  <si>
    <t>Precio x M2</t>
  </si>
  <si>
    <t>Torre Abitare</t>
  </si>
  <si>
    <t>Akoya</t>
  </si>
  <si>
    <t>The O Residences</t>
  </si>
  <si>
    <t>Escenica</t>
  </si>
  <si>
    <t>Boca de Mar</t>
  </si>
  <si>
    <t>Vigía Sky Tower</t>
  </si>
  <si>
    <t>6.5 o más</t>
  </si>
  <si>
    <t>2022 Agosto</t>
  </si>
  <si>
    <t>2022 Noviembre</t>
  </si>
  <si>
    <t>2023 Febreo</t>
  </si>
  <si>
    <t>2023 Mayo</t>
  </si>
  <si>
    <t>2023 Agosto</t>
  </si>
  <si>
    <t>2023 Noviembre</t>
  </si>
  <si>
    <t>2024 Febreo</t>
  </si>
  <si>
    <t>2024 Mayo</t>
  </si>
  <si>
    <t>2024 Agosto</t>
  </si>
  <si>
    <t>2024 Noviembre</t>
  </si>
  <si>
    <t>2025 Febreo</t>
  </si>
  <si>
    <t>Absorcion Ult. Mes</t>
  </si>
  <si>
    <t>Año Precio</t>
  </si>
  <si>
    <t>Precio M2  Stelarhe Disponible</t>
  </si>
  <si>
    <t>Precio Final Stelarhe Disponible</t>
  </si>
  <si>
    <t>Precio M2  Stelarhe Historico</t>
  </si>
  <si>
    <t>Precio Final Stelarhe Historico</t>
  </si>
  <si>
    <t>Precio M2 Proyectos 6.5 Millones o más</t>
  </si>
  <si>
    <t>Precio M2 Proyectos 6.4 Millones o menos</t>
  </si>
  <si>
    <t>I</t>
  </si>
  <si>
    <t>II</t>
  </si>
  <si>
    <t>III</t>
  </si>
  <si>
    <t>IV</t>
  </si>
  <si>
    <t>Precio Final Proyectos 6.5 Millones o más</t>
  </si>
  <si>
    <t>Absorcion Hisotirco</t>
  </si>
  <si>
    <t>Prom. Abs .Ult.Mes</t>
  </si>
  <si>
    <t>Prom.Px.M</t>
  </si>
  <si>
    <t>Stelarhe</t>
  </si>
  <si>
    <t xml:space="preserve">Proyecto </t>
  </si>
  <si>
    <t>Absorcion Historica</t>
  </si>
  <si>
    <t>Absorción Ult. Mes</t>
  </si>
  <si>
    <t xml:space="preserve"> Historica</t>
  </si>
  <si>
    <t>Ult. Mes</t>
  </si>
  <si>
    <t xml:space="preserve">Isla Diamante </t>
  </si>
  <si>
    <t>Azora</t>
  </si>
  <si>
    <t>Pacific Pearl Tower</t>
  </si>
  <si>
    <t xml:space="preserve">Aguamarina </t>
  </si>
  <si>
    <t>Sunset View Grand</t>
  </si>
  <si>
    <t>El Encanto Roca del Mar</t>
  </si>
  <si>
    <t>Playa Norte</t>
  </si>
  <si>
    <t>Imperia Beach Tower</t>
  </si>
  <si>
    <t xml:space="preserve">Litoral Ocean </t>
  </si>
  <si>
    <t>Malecón Ocean View</t>
  </si>
  <si>
    <t xml:space="preserve">Torre Triana </t>
  </si>
  <si>
    <t xml:space="preserve">Nereo </t>
  </si>
  <si>
    <t>Prom. Abs Hist</t>
  </si>
  <si>
    <t>6.4 o menos</t>
  </si>
  <si>
    <t>Precio Final Proyectos 6.4 Millones o menos</t>
  </si>
  <si>
    <t>M2</t>
  </si>
  <si>
    <t>Prom. Abs .Hist</t>
  </si>
  <si>
    <t xml:space="preserve">  Stelarhe</t>
  </si>
  <si>
    <t>$6.5 o más</t>
  </si>
  <si>
    <t>$6.4 o menos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</si>
</sst>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6" formatCode="_-* #,##0.0000_-;\-* #,##0.0000_-;_-* &quot;-&quot;??_-;_-@_-"/>
    <numFmt numFmtId="168" formatCode="_-* #,##0.0_-;\-* #,##0.0_-;_-* &quot;-&quot;??_-;_-@_-"/>
    <numFmt numFmtId="176" formatCode="&quot;$&quot;#,##0.00"/>
    <numFmt numFmtId="178" formatCode="&quot;$&quot;#,##0"/>
    <numFmt numFmtId="183" formatCode="0.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Roboto Thin"/>
    </font>
    <font>
      <sz val="14"/>
      <color theme="1"/>
      <name val="Roboto Thin"/>
    </font>
    <font>
      <sz val="16"/>
      <color theme="1"/>
      <name val="Roboto Thin"/>
    </font>
    <font>
      <sz val="14"/>
      <name val="Roboto Thin"/>
    </font>
    <font>
      <sz val="11"/>
      <color theme="0"/>
      <name val="Aptos Narrow"/>
      <family val="2"/>
      <scheme val="minor"/>
    </font>
    <font>
      <sz val="11"/>
      <color theme="0"/>
      <name val="Roboto Thin"/>
    </font>
    <font>
      <b/>
      <sz val="11"/>
      <color theme="0"/>
      <name val="Roboto Thin"/>
    </font>
    <font>
      <sz val="12"/>
      <color theme="0"/>
      <name val="Roboto Thin"/>
    </font>
    <font>
      <b/>
      <sz val="7"/>
      <color rgb="FFCCCCCC"/>
      <name val="Segoe UI"/>
      <family val="2"/>
    </font>
    <font>
      <sz val="7"/>
      <color rgb="FFCCCCCC"/>
      <name val="Segoe UI"/>
      <family val="2"/>
    </font>
    <font>
      <sz val="18"/>
      <name val="Roboto Thin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6" fontId="0" fillId="0" borderId="0" xfId="0" applyNumberFormat="1"/>
    <xf numFmtId="6" fontId="3" fillId="0" borderId="0" xfId="0" applyNumberFormat="1" applyFont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44" fontId="7" fillId="2" borderId="0" xfId="1" applyFont="1" applyFill="1"/>
    <xf numFmtId="0" fontId="8" fillId="2" borderId="1" xfId="0" applyFont="1" applyFill="1" applyBorder="1"/>
    <xf numFmtId="44" fontId="8" fillId="2" borderId="1" xfId="1" applyFont="1" applyFill="1" applyBorder="1"/>
    <xf numFmtId="44" fontId="8" fillId="2" borderId="0" xfId="1" applyFont="1" applyFill="1" applyBorder="1"/>
    <xf numFmtId="0" fontId="7" fillId="2" borderId="1" xfId="0" applyFont="1" applyFill="1" applyBorder="1" applyAlignment="1">
      <alignment vertical="center"/>
    </xf>
    <xf numFmtId="164" fontId="7" fillId="2" borderId="1" xfId="1" applyNumberFormat="1" applyFont="1" applyFill="1" applyBorder="1" applyAlignment="1"/>
    <xf numFmtId="2" fontId="7" fillId="2" borderId="1" xfId="1" applyNumberFormat="1" applyFont="1" applyFill="1" applyBorder="1" applyAlignment="1"/>
    <xf numFmtId="164" fontId="7" fillId="2" borderId="1" xfId="1" applyNumberFormat="1" applyFont="1" applyFill="1" applyBorder="1"/>
    <xf numFmtId="164" fontId="9" fillId="2" borderId="1" xfId="0" applyNumberFormat="1" applyFont="1" applyFill="1" applyBorder="1" applyAlignment="1">
      <alignment horizontal="center" vertical="center" readingOrder="1"/>
    </xf>
    <xf numFmtId="2" fontId="7" fillId="2" borderId="0" xfId="0" applyNumberFormat="1" applyFont="1" applyFill="1"/>
    <xf numFmtId="164" fontId="9" fillId="2" borderId="1" xfId="0" applyNumberFormat="1" applyFont="1" applyFill="1" applyBorder="1"/>
    <xf numFmtId="164" fontId="7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readingOrder="1"/>
    </xf>
    <xf numFmtId="164" fontId="7" fillId="2" borderId="0" xfId="1" applyNumberFormat="1" applyFont="1" applyFill="1" applyAlignment="1"/>
    <xf numFmtId="2" fontId="7" fillId="2" borderId="0" xfId="1" applyNumberFormat="1" applyFont="1" applyFill="1" applyBorder="1" applyAlignment="1"/>
    <xf numFmtId="164" fontId="8" fillId="2" borderId="1" xfId="1" applyNumberFormat="1" applyFont="1" applyFill="1" applyBorder="1" applyAlignment="1"/>
    <xf numFmtId="164" fontId="7" fillId="2" borderId="1" xfId="0" applyNumberFormat="1" applyFont="1" applyFill="1" applyBorder="1"/>
    <xf numFmtId="0" fontId="7" fillId="2" borderId="0" xfId="0" applyFont="1" applyFill="1" applyBorder="1" applyAlignment="1">
      <alignment vertical="center"/>
    </xf>
    <xf numFmtId="164" fontId="7" fillId="2" borderId="0" xfId="1" applyNumberFormat="1" applyFont="1" applyFill="1" applyBorder="1" applyAlignment="1"/>
    <xf numFmtId="164" fontId="7" fillId="2" borderId="0" xfId="1" applyNumberFormat="1" applyFont="1" applyFill="1" applyBorder="1" applyAlignment="1">
      <alignment horizontal="center" vertical="center" readingOrder="1"/>
    </xf>
    <xf numFmtId="164" fontId="9" fillId="2" borderId="0" xfId="0" applyNumberFormat="1" applyFont="1" applyFill="1" applyBorder="1"/>
    <xf numFmtId="164" fontId="7" fillId="2" borderId="0" xfId="1" applyNumberFormat="1" applyFont="1" applyFill="1" applyBorder="1"/>
    <xf numFmtId="164" fontId="7" fillId="2" borderId="0" xfId="0" applyNumberFormat="1" applyFont="1" applyFill="1" applyBorder="1"/>
    <xf numFmtId="0" fontId="7" fillId="3" borderId="0" xfId="0" applyFont="1" applyFill="1"/>
    <xf numFmtId="44" fontId="7" fillId="3" borderId="0" xfId="1" applyFont="1" applyFill="1"/>
    <xf numFmtId="0" fontId="8" fillId="2" borderId="2" xfId="0" applyFont="1" applyFill="1" applyBorder="1"/>
    <xf numFmtId="0" fontId="6" fillId="2" borderId="0" xfId="0" applyFont="1" applyFill="1"/>
    <xf numFmtId="0" fontId="6" fillId="4" borderId="0" xfId="0" applyFont="1" applyFill="1"/>
    <xf numFmtId="43" fontId="7" fillId="2" borderId="0" xfId="2" applyFont="1" applyFill="1"/>
    <xf numFmtId="166" fontId="7" fillId="2" borderId="0" xfId="2" applyNumberFormat="1" applyFont="1" applyFill="1"/>
    <xf numFmtId="43" fontId="7" fillId="2" borderId="1" xfId="2" applyFont="1" applyFill="1" applyBorder="1" applyAlignment="1"/>
    <xf numFmtId="2" fontId="7" fillId="2" borderId="1" xfId="1" quotePrefix="1" applyNumberFormat="1" applyFont="1" applyFill="1" applyBorder="1" applyAlignment="1"/>
    <xf numFmtId="164" fontId="7" fillId="2" borderId="0" xfId="1" applyNumberFormat="1" applyFont="1" applyFill="1"/>
    <xf numFmtId="166" fontId="7" fillId="2" borderId="1" xfId="2" applyNumberFormat="1" applyFont="1" applyFill="1" applyBorder="1" applyAlignment="1"/>
    <xf numFmtId="1" fontId="7" fillId="2" borderId="0" xfId="0" applyNumberFormat="1" applyFont="1" applyFill="1"/>
    <xf numFmtId="0" fontId="0" fillId="0" borderId="0" xfId="0" applyBorder="1"/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3" fillId="0" borderId="1" xfId="0" applyFont="1" applyBorder="1"/>
    <xf numFmtId="6" fontId="3" fillId="0" borderId="1" xfId="0" applyNumberFormat="1" applyFont="1" applyBorder="1" applyAlignment="1">
      <alignment horizontal="center" vertical="center"/>
    </xf>
    <xf numFmtId="6" fontId="4" fillId="0" borderId="1" xfId="0" applyNumberFormat="1" applyFont="1" applyBorder="1" applyAlignment="1">
      <alignment horizontal="center" vertical="center"/>
    </xf>
    <xf numFmtId="6" fontId="5" fillId="0" borderId="1" xfId="1" applyNumberFormat="1" applyFont="1" applyBorder="1" applyAlignment="1">
      <alignment horizontal="center" vertical="center" wrapText="1"/>
    </xf>
    <xf numFmtId="178" fontId="5" fillId="0" borderId="1" xfId="1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3" fontId="12" fillId="0" borderId="1" xfId="0" applyNumberFormat="1" applyFont="1" applyBorder="1" applyAlignment="1">
      <alignment horizontal="center" vertical="center" wrapText="1"/>
    </xf>
    <xf numFmtId="168" fontId="12" fillId="0" borderId="1" xfId="2" applyNumberFormat="1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 Thin"/>
        <scheme val="none"/>
      </font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 Thin"/>
        <scheme val="none"/>
      </font>
      <fill>
        <patternFill patternType="solid">
          <fgColor indexed="64"/>
          <bgColor theme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 Thin"/>
        <scheme val="none"/>
      </font>
      <fill>
        <patternFill patternType="solid">
          <fgColor indexed="64"/>
          <bgColor theme="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526508434951874E-2"/>
          <c:y val="2.6493931548528336E-2"/>
          <c:w val="0.91050693518148362"/>
          <c:h val="0.79430316245832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Hoja1!$V$3</c:f>
              <c:strCache>
                <c:ptCount val="1"/>
                <c:pt idx="0">
                  <c:v> Stelarhe </c:v>
                </c:pt>
              </c:strCache>
            </c:strRef>
          </c:tx>
          <c:spPr>
            <a:solidFill>
              <a:srgbClr val="FFD579"/>
            </a:solidFill>
            <a:ln w="57150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in" panose="02000000000000000000" pitchFamily="2" charset="0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Hoja1!$W$2:$X$2</c:f>
              <c:strCache>
                <c:ptCount val="2"/>
                <c:pt idx="0">
                  <c:v> Historica</c:v>
                </c:pt>
                <c:pt idx="1">
                  <c:v>Ult. Mes</c:v>
                </c:pt>
              </c:strCache>
            </c:strRef>
          </c:cat>
          <c:val>
            <c:numRef>
              <c:f>Hoja1!$W$3:$X$3</c:f>
              <c:numCache>
                <c:formatCode>General</c:formatCode>
                <c:ptCount val="2"/>
                <c:pt idx="0">
                  <c:v>2.5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4-4190-874E-CADDCB310C75}"/>
            </c:ext>
          </c:extLst>
        </c:ser>
        <c:ser>
          <c:idx val="1"/>
          <c:order val="1"/>
          <c:tx>
            <c:strRef>
              <c:f>Hoja1!$V$4</c:f>
              <c:strCache>
                <c:ptCount val="1"/>
                <c:pt idx="0">
                  <c:v>6.5 o más</c:v>
                </c:pt>
              </c:strCache>
            </c:strRef>
          </c:tx>
          <c:spPr>
            <a:solidFill>
              <a:srgbClr val="FFC000"/>
            </a:solidFill>
            <a:ln w="57150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Hoja1!$W$2:$X$2</c:f>
              <c:strCache>
                <c:ptCount val="2"/>
                <c:pt idx="0">
                  <c:v> Historica</c:v>
                </c:pt>
                <c:pt idx="1">
                  <c:v>Ult. Mes</c:v>
                </c:pt>
              </c:strCache>
            </c:strRef>
          </c:cat>
          <c:val>
            <c:numRef>
              <c:f>Hoja1!$W$4:$X$4</c:f>
              <c:numCache>
                <c:formatCode>0.00</c:formatCode>
                <c:ptCount val="2"/>
                <c:pt idx="0">
                  <c:v>1.1000000000000001</c:v>
                </c:pt>
                <c:pt idx="1">
                  <c:v>0.3833333333333333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4-4190-874E-CADDCB310C75}"/>
            </c:ext>
          </c:extLst>
        </c:ser>
        <c:ser>
          <c:idx val="2"/>
          <c:order val="2"/>
          <c:tx>
            <c:strRef>
              <c:f>Hoja1!$V$5</c:f>
              <c:strCache>
                <c:ptCount val="1"/>
                <c:pt idx="0">
                  <c:v>6.4 o menos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Hoja1!$W$5:$X$5</c:f>
              <c:numCache>
                <c:formatCode>0.00</c:formatCode>
                <c:ptCount val="2"/>
                <c:pt idx="0">
                  <c:v>4.4863636363636363</c:v>
                </c:pt>
                <c:pt idx="1">
                  <c:v>2.4499999999999997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2-4DDA-8AB6-36C608DA0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3977407"/>
        <c:axId val="294122783"/>
      </c:bar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solidFill>
            <a:sysClr val="window" lastClr="FFFFFF">
              <a:lumMod val="95000"/>
            </a:sysClr>
          </a:solidFill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0578098490829989E-2"/>
          <c:y val="2.3657953077320524E-2"/>
          <c:w val="0.82569490298534509"/>
          <c:h val="0.79910605829806525"/>
        </c:manualLayout>
      </c:layout>
      <c:lineChart>
        <c:grouping val="standard"/>
        <c:varyColors val="0"/>
        <c:ser>
          <c:idx val="1"/>
          <c:order val="0"/>
          <c:tx>
            <c:strRef>
              <c:f>Hoja2!$C$1</c:f>
              <c:strCache>
                <c:ptCount val="1"/>
                <c:pt idx="0">
                  <c:v>Precio M2  Stelarhe Disponible</c:v>
                </c:pt>
              </c:strCache>
            </c:strRef>
          </c:tx>
          <c:spPr>
            <a:ln w="38100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19050">
                <a:solidFill>
                  <a:srgbClr val="FFD57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Roboto Thin" panose="02000000000000000000" pitchFamily="2" charset="0"/>
                    <a:ea typeface="Roboto Thin" panose="02000000000000000000" pitchFamily="2" charset="0"/>
                    <a:cs typeface="Roboto Thin" panose="02000000000000000000" pitchFamily="2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Hoja2!$C$2:$C$13</c:f>
              <c:numCache>
                <c:formatCode>"$"#,##0_);[Red]\("$"#,##0\)</c:formatCode>
                <c:ptCount val="12"/>
                <c:pt idx="0">
                  <c:v>74287.06</c:v>
                </c:pt>
                <c:pt idx="1">
                  <c:v>74922.81</c:v>
                </c:pt>
                <c:pt idx="2">
                  <c:v>75565.02</c:v>
                </c:pt>
                <c:pt idx="3">
                  <c:v>76214.149999999994</c:v>
                </c:pt>
                <c:pt idx="4">
                  <c:v>76867.070000000007</c:v>
                </c:pt>
                <c:pt idx="5">
                  <c:v>77526.210000000006</c:v>
                </c:pt>
                <c:pt idx="6">
                  <c:v>78190.84</c:v>
                </c:pt>
                <c:pt idx="7">
                  <c:v>78860.399999999994</c:v>
                </c:pt>
                <c:pt idx="8">
                  <c:v>79537.399999999994</c:v>
                </c:pt>
                <c:pt idx="9">
                  <c:v>80219.02</c:v>
                </c:pt>
                <c:pt idx="10">
                  <c:v>80907.759999999995</c:v>
                </c:pt>
                <c:pt idx="11">
                  <c:v>81600.28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A-4FD4-9E80-CE6156147211}"/>
            </c:ext>
          </c:extLst>
        </c:ser>
        <c:ser>
          <c:idx val="4"/>
          <c:order val="2"/>
          <c:tx>
            <c:strRef>
              <c:f>Hoja2!$E$1</c:f>
              <c:strCache>
                <c:ptCount val="1"/>
                <c:pt idx="0">
                  <c:v>Precio M2  Stelarhe Historico</c:v>
                </c:pt>
              </c:strCache>
              <c:extLst xmlns:c15="http://schemas.microsoft.com/office/drawing/2012/chart"/>
            </c:strRef>
          </c:tx>
          <c:spPr>
            <a:ln w="44450" cap="rnd">
              <a:solidFill>
                <a:srgbClr val="DCEAF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BACC6"/>
              </a:solidFill>
              <a:ln w="19050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Roboto Thin" panose="02000000000000000000" pitchFamily="2" charset="0"/>
                    <a:ea typeface="Roboto Thin" panose="02000000000000000000" pitchFamily="2" charset="0"/>
                    <a:cs typeface="Roboto Thin" panose="02000000000000000000" pitchFamily="2" charset="0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Hoja2!$E$2:$E$13</c:f>
              <c:numCache>
                <c:formatCode>"$"#,##0_);[Red]\("$"#,##0\)</c:formatCode>
                <c:ptCount val="12"/>
                <c:pt idx="0">
                  <c:v>95601</c:v>
                </c:pt>
                <c:pt idx="1">
                  <c:v>96428</c:v>
                </c:pt>
                <c:pt idx="2">
                  <c:v>97260</c:v>
                </c:pt>
                <c:pt idx="3">
                  <c:v>98100</c:v>
                </c:pt>
                <c:pt idx="4">
                  <c:v>101914</c:v>
                </c:pt>
                <c:pt idx="5">
                  <c:v>102793</c:v>
                </c:pt>
                <c:pt idx="6">
                  <c:v>103681</c:v>
                </c:pt>
                <c:pt idx="7">
                  <c:v>104578</c:v>
                </c:pt>
                <c:pt idx="8">
                  <c:v>108649</c:v>
                </c:pt>
                <c:pt idx="9">
                  <c:v>109585</c:v>
                </c:pt>
                <c:pt idx="10">
                  <c:v>110530</c:v>
                </c:pt>
                <c:pt idx="11">
                  <c:v>111487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EEA-4FD4-9E80-CE6156147211}"/>
            </c:ext>
          </c:extLst>
        </c:ser>
        <c:ser>
          <c:idx val="2"/>
          <c:order val="4"/>
          <c:tx>
            <c:strRef>
              <c:f>Hoja2!$G$1</c:f>
              <c:strCache>
                <c:ptCount val="1"/>
                <c:pt idx="0">
                  <c:v>Precio M2 Proyectos 6.5 Millones o más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Hoja2!$G$2:$G$13</c:f>
              <c:numCache>
                <c:formatCode>"$"#,##0_);[Red]\("$"#,##0\)</c:formatCode>
                <c:ptCount val="12"/>
                <c:pt idx="0">
                  <c:v>66053.835005999994</c:v>
                </c:pt>
                <c:pt idx="1">
                  <c:v>66627.117866999994</c:v>
                </c:pt>
                <c:pt idx="2">
                  <c:v>67205.194168999995</c:v>
                </c:pt>
                <c:pt idx="3">
                  <c:v>67785.320124999998</c:v>
                </c:pt>
                <c:pt idx="4">
                  <c:v>68374.781306000004</c:v>
                </c:pt>
                <c:pt idx="5">
                  <c:v>68966.120314999993</c:v>
                </c:pt>
                <c:pt idx="6">
                  <c:v>69563.769224000003</c:v>
                </c:pt>
                <c:pt idx="7">
                  <c:v>70165.434813999993</c:v>
                </c:pt>
                <c:pt idx="8">
                  <c:v>70773.655752000006</c:v>
                </c:pt>
                <c:pt idx="9">
                  <c:v>71390.270369999998</c:v>
                </c:pt>
                <c:pt idx="10">
                  <c:v>72010.270606000006</c:v>
                </c:pt>
                <c:pt idx="11">
                  <c:v>72634.854691999994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E03-4AFA-A566-EADEEF7E361C}"/>
            </c:ext>
          </c:extLst>
        </c:ser>
        <c:ser>
          <c:idx val="6"/>
          <c:order val="6"/>
          <c:tx>
            <c:strRef>
              <c:f>Hoja2!$I$1</c:f>
              <c:strCache>
                <c:ptCount val="1"/>
                <c:pt idx="0">
                  <c:v>Precio M2 Proyectos 6.4 Millones o menos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Hoja2!$I$2:$I$13</c:f>
              <c:numCache>
                <c:formatCode>"$"#,##0</c:formatCode>
                <c:ptCount val="12"/>
                <c:pt idx="0">
                  <c:v>63611.534177000001</c:v>
                </c:pt>
                <c:pt idx="1">
                  <c:v>64157.015971000001</c:v>
                </c:pt>
                <c:pt idx="2">
                  <c:v>64708.596363999997</c:v>
                </c:pt>
                <c:pt idx="3">
                  <c:v>65265.030642999998</c:v>
                </c:pt>
                <c:pt idx="4">
                  <c:v>65824.988974000007</c:v>
                </c:pt>
                <c:pt idx="5">
                  <c:v>66388.506957000005</c:v>
                </c:pt>
                <c:pt idx="6">
                  <c:v>66959.967938999995</c:v>
                </c:pt>
                <c:pt idx="7">
                  <c:v>67537.242606999993</c:v>
                </c:pt>
                <c:pt idx="8">
                  <c:v>68118.280645999999</c:v>
                </c:pt>
                <c:pt idx="9">
                  <c:v>68702.912175000005</c:v>
                </c:pt>
                <c:pt idx="10">
                  <c:v>69295.337098000004</c:v>
                </c:pt>
                <c:pt idx="11">
                  <c:v>69890.476095999999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B-4420-864D-0917E9C3E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04672"/>
        <c:axId val="34206464"/>
        <c:extLst>
          <c:ext xmlns:c15="http://schemas.microsoft.com/office/drawing/2012/chart" uri="{02D57815-91ED-43cb-92C2-25804820EDAC}">
            <c15:filteredLineSeries>
              <c15:ser>
                <c:idx val="3"/>
                <c:order val="1"/>
                <c:tx>
                  <c:strRef>
                    <c:extLst>
                      <c:ext uri="{02D57815-91ED-43cb-92C2-25804820EDAC}">
                        <c15:formulaRef>
                          <c15:sqref>Hoja2!$D$1</c15:sqref>
                        </c15:formulaRef>
                      </c:ext>
                    </c:extLst>
                    <c:strCache>
                      <c:ptCount val="1"/>
                      <c:pt idx="0">
                        <c:v>Precio Final Stelarhe Disponible</c:v>
                      </c:pt>
                    </c:strCache>
                  </c:strRef>
                </c:tx>
                <c:spPr>
                  <a:ln w="38100" cap="rnd">
                    <a:solidFill>
                      <a:srgbClr val="FFD6A9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A900"/>
                    </a:solidFill>
                    <a:ln w="19050">
                      <a:solidFill>
                        <a:srgbClr val="FFA900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chemeClr val="tx1"/>
                          </a:solidFill>
                          <a:latin typeface="Roboto Thin" panose="02000000000000000000" pitchFamily="2" charset="0"/>
                          <a:ea typeface="Roboto Thin" panose="02000000000000000000" pitchFamily="2" charset="0"/>
                          <a:cs typeface="Roboto Thin" panose="02000000000000000000" pitchFamily="2" charset="0"/>
                        </a:defRPr>
                      </a:pPr>
                      <a:endParaRPr lang="es-MX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Hoja2!$D$2:$D$13</c15:sqref>
                        </c15:formulaRef>
                      </c:ext>
                    </c:extLst>
                    <c:numCache>
                      <c:formatCode>"$"#,##0_);[Red]\("$"#,##0\)</c:formatCode>
                      <c:ptCount val="12"/>
                      <c:pt idx="0">
                        <c:v>11068771.939999999</c:v>
                      </c:pt>
                      <c:pt idx="1">
                        <c:v>11163498.689999999</c:v>
                      </c:pt>
                      <c:pt idx="2">
                        <c:v>11259187.98</c:v>
                      </c:pt>
                      <c:pt idx="3">
                        <c:v>11355908.35</c:v>
                      </c:pt>
                      <c:pt idx="4">
                        <c:v>11453193.430000002</c:v>
                      </c:pt>
                      <c:pt idx="5">
                        <c:v>11551405.290000001</c:v>
                      </c:pt>
                      <c:pt idx="6">
                        <c:v>11650435.16</c:v>
                      </c:pt>
                      <c:pt idx="7">
                        <c:v>11750199.6</c:v>
                      </c:pt>
                      <c:pt idx="8">
                        <c:v>11851072.6</c:v>
                      </c:pt>
                      <c:pt idx="9">
                        <c:v>11952633.98</c:v>
                      </c:pt>
                      <c:pt idx="10">
                        <c:v>12055256.239999998</c:v>
                      </c:pt>
                      <c:pt idx="11">
                        <c:v>12158441.720000001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EEA-4FD4-9E80-CE615614721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Hoja2!$F$1</c15:sqref>
                        </c15:formulaRef>
                      </c:ext>
                    </c:extLst>
                    <c:strCache>
                      <c:ptCount val="1"/>
                      <c:pt idx="0">
                        <c:v>Precio Final Stelarhe Historico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Hoja2!$F$2:$F$13</c15:sqref>
                        </c15:formulaRef>
                      </c:ext>
                    </c:extLst>
                    <c:numCache>
                      <c:formatCode>"$"#,##0_);[Red]\("$"#,##0\)</c:formatCode>
                      <c:ptCount val="12"/>
                      <c:pt idx="0">
                        <c:v>14244549</c:v>
                      </c:pt>
                      <c:pt idx="1">
                        <c:v>14367772</c:v>
                      </c:pt>
                      <c:pt idx="2">
                        <c:v>14491740</c:v>
                      </c:pt>
                      <c:pt idx="3">
                        <c:v>14616900</c:v>
                      </c:pt>
                      <c:pt idx="4">
                        <c:v>15185186</c:v>
                      </c:pt>
                      <c:pt idx="5">
                        <c:v>15316157</c:v>
                      </c:pt>
                      <c:pt idx="6">
                        <c:v>15448469</c:v>
                      </c:pt>
                      <c:pt idx="7">
                        <c:v>15582122</c:v>
                      </c:pt>
                      <c:pt idx="8">
                        <c:v>16188701</c:v>
                      </c:pt>
                      <c:pt idx="9">
                        <c:v>16328165</c:v>
                      </c:pt>
                      <c:pt idx="10">
                        <c:v>16468970</c:v>
                      </c:pt>
                      <c:pt idx="11">
                        <c:v>16611563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E03-4AFA-A566-EADEEF7E361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Hoja2!$H$1</c15:sqref>
                        </c15:formulaRef>
                      </c:ext>
                    </c:extLst>
                    <c:strCache>
                      <c:ptCount val="1"/>
                      <c:pt idx="0">
                        <c:v>Precio Final Proyectos 6.5 Millones o más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Hoja2!$H$2:$H$13</c15:sqref>
                        </c15:formulaRef>
                      </c:ext>
                    </c:extLst>
                    <c:numCache>
                      <c:formatCode>"$"#,##0_);[Red]\("$"#,##0\)</c:formatCode>
                      <c:ptCount val="12"/>
                      <c:pt idx="0">
                        <c:v>8586998.5507799983</c:v>
                      </c:pt>
                      <c:pt idx="1">
                        <c:v>8661525.32271</c:v>
                      </c:pt>
                      <c:pt idx="2">
                        <c:v>8736675.2419699989</c:v>
                      </c:pt>
                      <c:pt idx="3">
                        <c:v>8812091.616249999</c:v>
                      </c:pt>
                      <c:pt idx="4">
                        <c:v>8888721.5697800014</c:v>
                      </c:pt>
                      <c:pt idx="5">
                        <c:v>8965595.6409499999</c:v>
                      </c:pt>
                      <c:pt idx="6">
                        <c:v>9043289.9991200007</c:v>
                      </c:pt>
                      <c:pt idx="7">
                        <c:v>9121506.5258199982</c:v>
                      </c:pt>
                      <c:pt idx="8">
                        <c:v>9200575.2477600016</c:v>
                      </c:pt>
                      <c:pt idx="9">
                        <c:v>9280735.1480999999</c:v>
                      </c:pt>
                      <c:pt idx="10">
                        <c:v>9361335.1787800007</c:v>
                      </c:pt>
                      <c:pt idx="11">
                        <c:v>9442531.1099599991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03-4AFA-A566-EADEEF7E361C}"/>
                  </c:ext>
                </c:extLst>
              </c15:ser>
            </c15:filteredLineSeries>
          </c:ext>
        </c:extLst>
      </c:lineChart>
      <c:catAx>
        <c:axId val="342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Roboto Thin" panose="02000000000000000000" pitchFamily="2" charset="0"/>
              </a:defRPr>
            </a:pPr>
            <a:endParaRPr lang="es-MX"/>
          </a:p>
        </c:txPr>
        <c:crossAx val="34206464"/>
        <c:crosses val="autoZero"/>
        <c:auto val="1"/>
        <c:lblAlgn val="ctr"/>
        <c:lblOffset val="100"/>
        <c:noMultiLvlLbl val="0"/>
      </c:catAx>
      <c:valAx>
        <c:axId val="34206464"/>
        <c:scaling>
          <c:orientation val="minMax"/>
          <c:min val="58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Roboto Light" pitchFamily="2" charset="0"/>
                <a:ea typeface="Roboto Light" pitchFamily="2" charset="0"/>
                <a:cs typeface="Arial" panose="020B0604020202020204" pitchFamily="34" charset="0"/>
              </a:defRPr>
            </a:pPr>
            <a:endParaRPr lang="es-MX"/>
          </a:p>
        </c:txPr>
        <c:crossAx val="342046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b="0" i="0">
          <a:latin typeface="Roboto Light" pitchFamily="2" charset="0"/>
          <a:ea typeface="Roboto Light" pitchFamily="2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0578098490829989E-2"/>
          <c:y val="2.3657953077320524E-2"/>
          <c:w val="0.82569490298534509"/>
          <c:h val="0.79910605829806525"/>
        </c:manualLayout>
      </c:layout>
      <c:lineChart>
        <c:grouping val="standard"/>
        <c:varyColors val="0"/>
        <c:ser>
          <c:idx val="3"/>
          <c:order val="1"/>
          <c:tx>
            <c:strRef>
              <c:f>Hoja2!$D$1</c:f>
              <c:strCache>
                <c:ptCount val="1"/>
                <c:pt idx="0">
                  <c:v>Precio Final Stelarhe Disponible</c:v>
                </c:pt>
              </c:strCache>
            </c:strRef>
          </c:tx>
          <c:spPr>
            <a:ln w="38100" cap="rnd">
              <a:solidFill>
                <a:srgbClr val="FFD6A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A900"/>
              </a:solidFill>
              <a:ln w="19050">
                <a:solidFill>
                  <a:srgbClr val="FFA9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Roboto Thin" panose="02000000000000000000" pitchFamily="2" charset="0"/>
                    <a:ea typeface="Roboto Thin" panose="02000000000000000000" pitchFamily="2" charset="0"/>
                    <a:cs typeface="Roboto Thin" panose="02000000000000000000" pitchFamily="2" charset="0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Hoja2!$D$2:$D$13</c:f>
              <c:numCache>
                <c:formatCode>"$"#,##0_);[Red]\("$"#,##0\)</c:formatCode>
                <c:ptCount val="12"/>
                <c:pt idx="0">
                  <c:v>11068771.939999999</c:v>
                </c:pt>
                <c:pt idx="1">
                  <c:v>11163498.689999999</c:v>
                </c:pt>
                <c:pt idx="2">
                  <c:v>11259187.98</c:v>
                </c:pt>
                <c:pt idx="3">
                  <c:v>11355908.35</c:v>
                </c:pt>
                <c:pt idx="4">
                  <c:v>11453193.430000002</c:v>
                </c:pt>
                <c:pt idx="5">
                  <c:v>11551405.290000001</c:v>
                </c:pt>
                <c:pt idx="6">
                  <c:v>11650435.16</c:v>
                </c:pt>
                <c:pt idx="7">
                  <c:v>11750199.6</c:v>
                </c:pt>
                <c:pt idx="8">
                  <c:v>11851072.6</c:v>
                </c:pt>
                <c:pt idx="9">
                  <c:v>11952633.98</c:v>
                </c:pt>
                <c:pt idx="10">
                  <c:v>12055256.239999998</c:v>
                </c:pt>
                <c:pt idx="11">
                  <c:v>12158441.720000001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A-4FD4-9E80-CE6156147211}"/>
            </c:ext>
          </c:extLst>
        </c:ser>
        <c:ser>
          <c:idx val="0"/>
          <c:order val="3"/>
          <c:tx>
            <c:strRef>
              <c:f>Hoja2!$F$1</c:f>
              <c:strCache>
                <c:ptCount val="1"/>
                <c:pt idx="0">
                  <c:v>Precio Final Stelarhe Historico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Hoja2!$F$2:$F$13</c:f>
              <c:numCache>
                <c:formatCode>"$"#,##0_);[Red]\("$"#,##0\)</c:formatCode>
                <c:ptCount val="12"/>
                <c:pt idx="0">
                  <c:v>14244549</c:v>
                </c:pt>
                <c:pt idx="1">
                  <c:v>14367772</c:v>
                </c:pt>
                <c:pt idx="2">
                  <c:v>14491740</c:v>
                </c:pt>
                <c:pt idx="3">
                  <c:v>14616900</c:v>
                </c:pt>
                <c:pt idx="4">
                  <c:v>15185186</c:v>
                </c:pt>
                <c:pt idx="5">
                  <c:v>15316157</c:v>
                </c:pt>
                <c:pt idx="6">
                  <c:v>15448469</c:v>
                </c:pt>
                <c:pt idx="7">
                  <c:v>15582122</c:v>
                </c:pt>
                <c:pt idx="8">
                  <c:v>16188701</c:v>
                </c:pt>
                <c:pt idx="9">
                  <c:v>16328165</c:v>
                </c:pt>
                <c:pt idx="10">
                  <c:v>16468970</c:v>
                </c:pt>
                <c:pt idx="11">
                  <c:v>16611563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DB39-459C-B658-0B240C66D7D2}"/>
            </c:ext>
          </c:extLst>
        </c:ser>
        <c:ser>
          <c:idx val="5"/>
          <c:order val="5"/>
          <c:tx>
            <c:strRef>
              <c:f>Hoja2!$H$1</c:f>
              <c:strCache>
                <c:ptCount val="1"/>
                <c:pt idx="0">
                  <c:v>Precio Final Proyectos 6.5 Millones o más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multiLvlStrRef>
              <c:f>Hoja2!$A$2:$B$13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Hoja2!$H$2:$H$13</c:f>
              <c:numCache>
                <c:formatCode>"$"#,##0_);[Red]\("$"#,##0\)</c:formatCode>
                <c:ptCount val="12"/>
                <c:pt idx="0">
                  <c:v>8586998.5507799983</c:v>
                </c:pt>
                <c:pt idx="1">
                  <c:v>8661525.32271</c:v>
                </c:pt>
                <c:pt idx="2">
                  <c:v>8736675.2419699989</c:v>
                </c:pt>
                <c:pt idx="3">
                  <c:v>8812091.616249999</c:v>
                </c:pt>
                <c:pt idx="4">
                  <c:v>8888721.5697800014</c:v>
                </c:pt>
                <c:pt idx="5">
                  <c:v>8965595.6409499999</c:v>
                </c:pt>
                <c:pt idx="6">
                  <c:v>9043289.9991200007</c:v>
                </c:pt>
                <c:pt idx="7">
                  <c:v>9121506.5258199982</c:v>
                </c:pt>
                <c:pt idx="8">
                  <c:v>9200575.2477600016</c:v>
                </c:pt>
                <c:pt idx="9">
                  <c:v>9280735.1480999999</c:v>
                </c:pt>
                <c:pt idx="10">
                  <c:v>9361335.1787800007</c:v>
                </c:pt>
                <c:pt idx="11">
                  <c:v>9442531.1099599991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39-459C-B658-0B240C66D7D2}"/>
            </c:ext>
          </c:extLst>
        </c:ser>
        <c:ser>
          <c:idx val="6"/>
          <c:order val="6"/>
          <c:tx>
            <c:strRef>
              <c:f>Hoja2!$J$1</c:f>
              <c:strCache>
                <c:ptCount val="1"/>
                <c:pt idx="0">
                  <c:v>Precio Final Proyectos 6.4 Millones o menos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Hoja2!$J$2:$J$13</c:f>
              <c:numCache>
                <c:formatCode>"$"#,##0.00</c:formatCode>
                <c:ptCount val="12"/>
                <c:pt idx="0">
                  <c:v>6679211.0885850005</c:v>
                </c:pt>
                <c:pt idx="1">
                  <c:v>6736486.6769550005</c:v>
                </c:pt>
                <c:pt idx="2">
                  <c:v>6794402.6182199996</c:v>
                </c:pt>
                <c:pt idx="3">
                  <c:v>6852828.2175150001</c:v>
                </c:pt>
                <c:pt idx="4">
                  <c:v>6911623.8422700008</c:v>
                </c:pt>
                <c:pt idx="5">
                  <c:v>6970793.2304850006</c:v>
                </c:pt>
                <c:pt idx="6">
                  <c:v>7030796.6335949991</c:v>
                </c:pt>
                <c:pt idx="7">
                  <c:v>7091410.4737349991</c:v>
                </c:pt>
                <c:pt idx="8">
                  <c:v>7152419.4678299995</c:v>
                </c:pt>
                <c:pt idx="9">
                  <c:v>7213805.7783750007</c:v>
                </c:pt>
                <c:pt idx="10">
                  <c:v>7276010.3952900004</c:v>
                </c:pt>
                <c:pt idx="11">
                  <c:v>7338499.9900799999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5-4105-A8DD-DFEFA7752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04672"/>
        <c:axId val="3420646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Hoja2!$C$1</c15:sqref>
                        </c15:formulaRef>
                      </c:ext>
                    </c:extLst>
                    <c:strCache>
                      <c:ptCount val="1"/>
                      <c:pt idx="0">
                        <c:v>Precio M2  Stelarhe Disponible</c:v>
                      </c:pt>
                    </c:strCache>
                  </c:strRef>
                </c:tx>
                <c:spPr>
                  <a:ln w="38100" cap="rnd">
                    <a:solidFill>
                      <a:srgbClr val="FFD579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C000"/>
                    </a:solidFill>
                    <a:ln w="19050">
                      <a:solidFill>
                        <a:srgbClr val="FFD579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chemeClr val="tx1"/>
                          </a:solidFill>
                          <a:latin typeface="Roboto Thin" panose="02000000000000000000" pitchFamily="2" charset="0"/>
                          <a:ea typeface="Roboto Thin" panose="02000000000000000000" pitchFamily="2" charset="0"/>
                          <a:cs typeface="Roboto Thin" panose="02000000000000000000" pitchFamily="2" charset="0"/>
                        </a:defRPr>
                      </a:pPr>
                      <a:endParaRPr lang="es-MX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Hoja2!$C$2:$C$13</c15:sqref>
                        </c15:formulaRef>
                      </c:ext>
                    </c:extLst>
                    <c:numCache>
                      <c:formatCode>"$"#,##0_);[Red]\("$"#,##0\)</c:formatCode>
                      <c:ptCount val="12"/>
                      <c:pt idx="0">
                        <c:v>74287.06</c:v>
                      </c:pt>
                      <c:pt idx="1">
                        <c:v>74922.81</c:v>
                      </c:pt>
                      <c:pt idx="2">
                        <c:v>75565.02</c:v>
                      </c:pt>
                      <c:pt idx="3">
                        <c:v>76214.149999999994</c:v>
                      </c:pt>
                      <c:pt idx="4">
                        <c:v>76867.070000000007</c:v>
                      </c:pt>
                      <c:pt idx="5">
                        <c:v>77526.210000000006</c:v>
                      </c:pt>
                      <c:pt idx="6">
                        <c:v>78190.84</c:v>
                      </c:pt>
                      <c:pt idx="7">
                        <c:v>78860.399999999994</c:v>
                      </c:pt>
                      <c:pt idx="8">
                        <c:v>79537.399999999994</c:v>
                      </c:pt>
                      <c:pt idx="9">
                        <c:v>80219.02</c:v>
                      </c:pt>
                      <c:pt idx="10">
                        <c:v>80907.759999999995</c:v>
                      </c:pt>
                      <c:pt idx="11">
                        <c:v>81600.28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EEA-4FD4-9E80-CE6156147211}"/>
                  </c:ext>
                </c:extLst>
              </c15:ser>
            </c15:filteredLineSeries>
            <c15:filteredLine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Hoja2!$E$1</c15:sqref>
                        </c15:formulaRef>
                      </c:ext>
                    </c:extLst>
                    <c:strCache>
                      <c:ptCount val="1"/>
                      <c:pt idx="0">
                        <c:v>Precio M2  Stelarhe Historico</c:v>
                      </c:pt>
                    </c:strCache>
                  </c:strRef>
                </c:tx>
                <c:spPr>
                  <a:ln w="44450" cap="rnd">
                    <a:solidFill>
                      <a:srgbClr val="DCEAF7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4BACC6"/>
                    </a:solidFill>
                    <a:ln w="19050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chemeClr val="tx1"/>
                          </a:solidFill>
                          <a:latin typeface="Roboto Thin" panose="02000000000000000000" pitchFamily="2" charset="0"/>
                          <a:ea typeface="Roboto Thin" panose="02000000000000000000" pitchFamily="2" charset="0"/>
                          <a:cs typeface="Roboto Thin" panose="02000000000000000000" pitchFamily="2" charset="0"/>
                        </a:defRPr>
                      </a:pPr>
                      <a:endParaRPr lang="es-MX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Hoja2!$E$2:$E$13</c15:sqref>
                        </c15:formulaRef>
                      </c:ext>
                    </c:extLst>
                    <c:numCache>
                      <c:formatCode>"$"#,##0_);[Red]\("$"#,##0\)</c:formatCode>
                      <c:ptCount val="12"/>
                      <c:pt idx="0">
                        <c:v>95601</c:v>
                      </c:pt>
                      <c:pt idx="1">
                        <c:v>96428</c:v>
                      </c:pt>
                      <c:pt idx="2">
                        <c:v>97260</c:v>
                      </c:pt>
                      <c:pt idx="3">
                        <c:v>98100</c:v>
                      </c:pt>
                      <c:pt idx="4">
                        <c:v>101914</c:v>
                      </c:pt>
                      <c:pt idx="5">
                        <c:v>102793</c:v>
                      </c:pt>
                      <c:pt idx="6">
                        <c:v>103681</c:v>
                      </c:pt>
                      <c:pt idx="7">
                        <c:v>104578</c:v>
                      </c:pt>
                      <c:pt idx="8">
                        <c:v>108649</c:v>
                      </c:pt>
                      <c:pt idx="9">
                        <c:v>109585</c:v>
                      </c:pt>
                      <c:pt idx="10">
                        <c:v>110530</c:v>
                      </c:pt>
                      <c:pt idx="11">
                        <c:v>111487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EEA-4FD4-9E80-CE6156147211}"/>
                  </c:ext>
                </c:extLst>
              </c15:ser>
            </c15:filteredLineSeries>
            <c15:filteredLine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Hoja2!$G$1</c15:sqref>
                        </c15:formulaRef>
                      </c:ext>
                    </c:extLst>
                    <c:strCache>
                      <c:ptCount val="1"/>
                      <c:pt idx="0">
                        <c:v>Precio M2 Proyectos 6.5 Millones o más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Hoja2!$A$2:$B$13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I</c:v>
                        </c:pt>
                        <c:pt idx="1">
                          <c:v>II</c:v>
                        </c:pt>
                        <c:pt idx="2">
                          <c:v>III</c:v>
                        </c:pt>
                        <c:pt idx="3">
                          <c:v>IV</c:v>
                        </c:pt>
                        <c:pt idx="4">
                          <c:v>I</c:v>
                        </c:pt>
                        <c:pt idx="5">
                          <c:v>II</c:v>
                        </c:pt>
                        <c:pt idx="6">
                          <c:v>III</c:v>
                        </c:pt>
                        <c:pt idx="7">
                          <c:v>IV</c:v>
                        </c:pt>
                        <c:pt idx="8">
                          <c:v>I</c:v>
                        </c:pt>
                        <c:pt idx="9">
                          <c:v>II</c:v>
                        </c:pt>
                        <c:pt idx="10">
                          <c:v>III</c:v>
                        </c:pt>
                        <c:pt idx="11">
                          <c:v>IV</c:v>
                        </c:pt>
                      </c:lvl>
                      <c:lvl>
                        <c:pt idx="0">
                          <c:v>2025</c:v>
                        </c:pt>
                        <c:pt idx="4">
                          <c:v>2026</c:v>
                        </c:pt>
                        <c:pt idx="8">
                          <c:v>2027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Hoja2!$G$2:$G$13</c15:sqref>
                        </c15:formulaRef>
                      </c:ext>
                    </c:extLst>
                    <c:numCache>
                      <c:formatCode>"$"#,##0_);[Red]\("$"#,##0\)</c:formatCode>
                      <c:ptCount val="12"/>
                      <c:pt idx="0">
                        <c:v>66053.835005999994</c:v>
                      </c:pt>
                      <c:pt idx="1">
                        <c:v>66627.117866999994</c:v>
                      </c:pt>
                      <c:pt idx="2">
                        <c:v>67205.194168999995</c:v>
                      </c:pt>
                      <c:pt idx="3">
                        <c:v>67785.320124999998</c:v>
                      </c:pt>
                      <c:pt idx="4">
                        <c:v>68374.781306000004</c:v>
                      </c:pt>
                      <c:pt idx="5">
                        <c:v>68966.120314999993</c:v>
                      </c:pt>
                      <c:pt idx="6">
                        <c:v>69563.769224000003</c:v>
                      </c:pt>
                      <c:pt idx="7">
                        <c:v>70165.434813999993</c:v>
                      </c:pt>
                      <c:pt idx="8">
                        <c:v>70773.655752000006</c:v>
                      </c:pt>
                      <c:pt idx="9">
                        <c:v>71390.270369999998</c:v>
                      </c:pt>
                      <c:pt idx="10">
                        <c:v>72010.270606000006</c:v>
                      </c:pt>
                      <c:pt idx="11">
                        <c:v>72634.854691999994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B39-459C-B658-0B240C66D7D2}"/>
                  </c:ext>
                </c:extLst>
              </c15:ser>
            </c15:filteredLineSeries>
          </c:ext>
        </c:extLst>
      </c:lineChart>
      <c:catAx>
        <c:axId val="3420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in" panose="02000000000000000000" pitchFamily="2" charset="0"/>
                <a:ea typeface="Roboto Thin" panose="02000000000000000000" pitchFamily="2" charset="0"/>
                <a:cs typeface="Roboto Thin" panose="02000000000000000000" pitchFamily="2" charset="0"/>
              </a:defRPr>
            </a:pPr>
            <a:endParaRPr lang="es-MX"/>
          </a:p>
        </c:txPr>
        <c:crossAx val="34206464"/>
        <c:crosses val="autoZero"/>
        <c:auto val="1"/>
        <c:lblAlgn val="ctr"/>
        <c:lblOffset val="100"/>
        <c:noMultiLvlLbl val="0"/>
      </c:catAx>
      <c:valAx>
        <c:axId val="34206464"/>
        <c:scaling>
          <c:orientation val="minMax"/>
          <c:min val="58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>
                    <a:lumMod val="85000"/>
                  </a:schemeClr>
                </a:solidFill>
                <a:latin typeface="Roboto Light" pitchFamily="2" charset="0"/>
                <a:ea typeface="Roboto Light" pitchFamily="2" charset="0"/>
                <a:cs typeface="Arial" panose="020B0604020202020204" pitchFamily="34" charset="0"/>
              </a:defRPr>
            </a:pPr>
            <a:endParaRPr lang="es-MX"/>
          </a:p>
        </c:txPr>
        <c:crossAx val="342046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b="0" i="0">
          <a:latin typeface="Roboto Light" pitchFamily="2" charset="0"/>
          <a:ea typeface="Roboto Light" pitchFamily="2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Hoja2!$C$66</c:f>
              <c:strCache>
                <c:ptCount val="1"/>
                <c:pt idx="0">
                  <c:v>  Stelarhe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Hoja2!$A$67:$B$78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Hoja2!$C$67:$C$78</c:f>
              <c:numCache>
                <c:formatCode>_-* #,##0.0_-;\-* #,##0.0_-;_-* "-"??_-;_-@_-</c:formatCode>
                <c:ptCount val="12"/>
                <c:pt idx="0">
                  <c:v>1.152728</c:v>
                </c:pt>
                <c:pt idx="1">
                  <c:v>1.1626099999999999</c:v>
                </c:pt>
                <c:pt idx="2">
                  <c:v>1.1726160000000001</c:v>
                </c:pt>
                <c:pt idx="3">
                  <c:v>1.1826939999999999</c:v>
                </c:pt>
                <c:pt idx="4">
                  <c:v>1.192836</c:v>
                </c:pt>
                <c:pt idx="5">
                  <c:v>1.203049</c:v>
                </c:pt>
                <c:pt idx="6">
                  <c:v>1.213408</c:v>
                </c:pt>
                <c:pt idx="7">
                  <c:v>1.2238469999999999</c:v>
                </c:pt>
                <c:pt idx="8">
                  <c:v>1.234369</c:v>
                </c:pt>
                <c:pt idx="9">
                  <c:v>1.2449410000000001</c:v>
                </c:pt>
                <c:pt idx="10">
                  <c:v>1.255614</c:v>
                </c:pt>
                <c:pt idx="11">
                  <c:v>1.266411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F-41D5-B318-B4337FD9FD46}"/>
            </c:ext>
          </c:extLst>
        </c:ser>
        <c:ser>
          <c:idx val="1"/>
          <c:order val="1"/>
          <c:tx>
            <c:strRef>
              <c:f>Hoja2!$D$66</c:f>
              <c:strCache>
                <c:ptCount val="1"/>
                <c:pt idx="0">
                  <c:v>$6.5 o más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Hoja2!$A$67:$B$78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Hoja2!$D$67:$D$78</c:f>
              <c:numCache>
                <c:formatCode>0.0</c:formatCode>
                <c:ptCount val="12"/>
                <c:pt idx="0">
                  <c:v>0.33138699999999999</c:v>
                </c:pt>
                <c:pt idx="1">
                  <c:v>0.334233</c:v>
                </c:pt>
                <c:pt idx="2">
                  <c:v>0.33710000000000001</c:v>
                </c:pt>
                <c:pt idx="3">
                  <c:v>0.34</c:v>
                </c:pt>
                <c:pt idx="4">
                  <c:v>0.34291700000000003</c:v>
                </c:pt>
                <c:pt idx="5">
                  <c:v>0.34586800000000001</c:v>
                </c:pt>
                <c:pt idx="6">
                  <c:v>0.34882000000000002</c:v>
                </c:pt>
                <c:pt idx="7">
                  <c:v>0.351823</c:v>
                </c:pt>
                <c:pt idx="8">
                  <c:v>0.354848</c:v>
                </c:pt>
                <c:pt idx="9">
                  <c:v>0.3579</c:v>
                </c:pt>
                <c:pt idx="10">
                  <c:v>0.360981</c:v>
                </c:pt>
                <c:pt idx="11">
                  <c:v>0.36408699999999999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F-41D5-B318-B4337FD9FD46}"/>
            </c:ext>
          </c:extLst>
        </c:ser>
        <c:ser>
          <c:idx val="2"/>
          <c:order val="2"/>
          <c:tx>
            <c:strRef>
              <c:f>Hoja2!$E$66</c:f>
              <c:strCache>
                <c:ptCount val="1"/>
                <c:pt idx="0">
                  <c:v>$6.4 o menos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Hoja2!$A$67:$B$78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2025</c:v>
                  </c:pt>
                  <c:pt idx="4">
                    <c:v>2026</c:v>
                  </c:pt>
                  <c:pt idx="8">
                    <c:v>2027</c:v>
                  </c:pt>
                </c:lvl>
              </c:multiLvlStrCache>
            </c:multiLvlStrRef>
          </c:cat>
          <c:val>
            <c:numRef>
              <c:f>Hoja2!$E$67:$E$78</c:f>
              <c:numCache>
                <c:formatCode>0.0</c:formatCode>
                <c:ptCount val="12"/>
                <c:pt idx="0">
                  <c:v>6.5225049999999998</c:v>
                </c:pt>
                <c:pt idx="1">
                  <c:v>6.5782499999999997</c:v>
                </c:pt>
                <c:pt idx="2">
                  <c:v>6.6345850000000004</c:v>
                </c:pt>
                <c:pt idx="3">
                  <c:v>6.6914769999999999</c:v>
                </c:pt>
                <c:pt idx="4">
                  <c:v>6.7486949999999997</c:v>
                </c:pt>
                <c:pt idx="5">
                  <c:v>6.8065709999999999</c:v>
                </c:pt>
                <c:pt idx="6">
                  <c:v>6.8648899999999999</c:v>
                </c:pt>
                <c:pt idx="7">
                  <c:v>6.9237469999999997</c:v>
                </c:pt>
                <c:pt idx="8">
                  <c:v>6.9832789999999996</c:v>
                </c:pt>
                <c:pt idx="9">
                  <c:v>7.0429849999999998</c:v>
                </c:pt>
                <c:pt idx="10">
                  <c:v>7.1038199999999998</c:v>
                </c:pt>
                <c:pt idx="11">
                  <c:v>7.164949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EF-41D5-B318-B4337FD9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9995632"/>
        <c:axId val="2079995152"/>
      </c:barChart>
      <c:catAx>
        <c:axId val="20799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9995152"/>
        <c:crosses val="autoZero"/>
        <c:auto val="1"/>
        <c:lblAlgn val="ctr"/>
        <c:lblOffset val="100"/>
        <c:noMultiLvlLbl val="0"/>
      </c:catAx>
      <c:valAx>
        <c:axId val="207999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99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181841</xdr:colOff>
      <xdr:row>9</xdr:row>
      <xdr:rowOff>81203</xdr:rowOff>
    </xdr:from>
    <xdr:to>
      <xdr:col>26</xdr:col>
      <xdr:colOff>193386</xdr:colOff>
      <xdr:row>24</xdr:row>
      <xdr:rowOff>82357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0969C4C-26D3-2EC4-C4F8-DB5E3A886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65284</xdr:rowOff>
    </xdr:from>
    <xdr:to>
      <xdr:col>6</xdr:col>
      <xdr:colOff>2183573</xdr:colOff>
      <xdr:row>58</xdr:row>
      <xdr:rowOff>65285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A8D810-AF45-2487-BDF4-461305B4B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1720228</xdr:colOff>
      <xdr:row>21</xdr:row>
      <xdr:rowOff>68238</xdr:rowOff>
    </xdr:from>
    <xdr:to>
      <xdr:col>11</xdr:col>
      <xdr:colOff>185279</xdr:colOff>
      <xdr:row>44</xdr:row>
      <xdr:rowOff>162821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4C77D4-C997-92F1-81C0-B42491057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1241227</xdr:colOff>
      <xdr:row>65</xdr:row>
      <xdr:rowOff>161330</xdr:rowOff>
    </xdr:from>
    <xdr:to>
      <xdr:col>7</xdr:col>
      <xdr:colOff>256977</xdr:colOff>
      <xdr:row>75</xdr:row>
      <xdr:rowOff>27187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996B4D-9D57-4EE5-558C-0253E2275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CFEDDB-AA58-4C61-A157-56C11DD5DEF9}" name="Tabla1" displayName="Tabla1" ref="T14:T26" totalsRowShown="0" headerRowDxfId="0" dataDxfId="1" headerRowBorderDxfId="3" tableBorderDxfId="4">
  <autoFilter ref="T14:T26" xr:uid="{32CFEDDB-AA58-4C61-A157-56C11DD5DEF9}"/>
  <sortState xmlns:xlrd2="http://schemas.microsoft.com/office/spreadsheetml/2017/richdata2" ref="T15:T26">
    <sortCondition ref="T14:T26"/>
  </sortState>
  <tableColumns count="1">
    <tableColumn id="1" xr3:uid="{8671370E-0CDB-4AE7-A40D-2199004BC9DB}" name="Proyecto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DED6-ED41-4F31-BE18-C194CF655F12}">
  <dimension ref="A1:AG105"/>
  <sheetViews>
    <sheetView tabSelected="1" topLeftCell="A86" zoomScale="70" zoomScaleNormal="70" workbookViewId="0">
      <selection activeCell="T51" sqref="T51"/>
    </sheetView>
  </sheetViews>
  <sheetFormatPr baseColWidth="10" defaultRowHeight="14.5" x14ac:dyDescent="0.35"/>
  <cols>
    <col min="1" max="1" width="22.7265625" style="4" bestFit="1" customWidth="1"/>
    <col min="2" max="2" width="13.54296875" style="5" bestFit="1" customWidth="1"/>
    <col min="3" max="3" width="20.36328125" style="5" bestFit="1" customWidth="1"/>
    <col min="4" max="4" width="20.36328125" style="5" customWidth="1"/>
    <col min="5" max="5" width="17.36328125" style="4" bestFit="1" customWidth="1"/>
    <col min="6" max="6" width="18.1796875" style="4" bestFit="1" customWidth="1"/>
    <col min="7" max="7" width="13.54296875" style="4" bestFit="1" customWidth="1"/>
    <col min="8" max="8" width="20.36328125" style="4" bestFit="1" customWidth="1"/>
    <col min="9" max="9" width="21.1796875" style="4" bestFit="1" customWidth="1"/>
    <col min="10" max="10" width="10.90625" style="4"/>
    <col min="11" max="11" width="16.36328125" style="4" bestFit="1" customWidth="1"/>
    <col min="12" max="12" width="13.54296875" style="4" bestFit="1" customWidth="1"/>
    <col min="13" max="13" width="20.36328125" style="4" bestFit="1" customWidth="1"/>
    <col min="14" max="14" width="21.1796875" style="4" bestFit="1" customWidth="1"/>
    <col min="15" max="15" width="11.1796875" style="4" bestFit="1" customWidth="1"/>
    <col min="16" max="16" width="16.36328125" style="4" bestFit="1" customWidth="1"/>
    <col min="17" max="17" width="13.54296875" style="4" bestFit="1" customWidth="1"/>
    <col min="18" max="18" width="20.54296875" style="4" bestFit="1" customWidth="1"/>
    <col min="19" max="19" width="22.81640625" style="4" bestFit="1" customWidth="1"/>
    <col min="20" max="20" width="17.81640625" style="4" bestFit="1" customWidth="1"/>
    <col min="21" max="16384" width="10.90625" style="4"/>
  </cols>
  <sheetData>
    <row r="1" spans="1:33" x14ac:dyDescent="0.35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33" x14ac:dyDescent="0.35">
      <c r="A2" s="4" t="s">
        <v>0</v>
      </c>
      <c r="F2" s="4" t="s">
        <v>12</v>
      </c>
      <c r="G2" s="5"/>
      <c r="H2" s="5"/>
      <c r="I2" s="5"/>
      <c r="K2" s="4" t="s">
        <v>16</v>
      </c>
      <c r="L2" s="5"/>
      <c r="M2" s="5"/>
      <c r="N2" s="5"/>
      <c r="P2" s="4" t="s">
        <v>20</v>
      </c>
      <c r="Q2" s="5"/>
      <c r="R2" s="5"/>
      <c r="S2" s="5"/>
      <c r="V2" s="4" t="s">
        <v>38</v>
      </c>
      <c r="W2" s="4" t="s">
        <v>41</v>
      </c>
      <c r="X2" s="4" t="s">
        <v>42</v>
      </c>
    </row>
    <row r="3" spans="1:33" x14ac:dyDescent="0.35">
      <c r="A3" s="6" t="s">
        <v>1</v>
      </c>
      <c r="B3" s="7" t="s">
        <v>2</v>
      </c>
      <c r="C3" s="7" t="s">
        <v>21</v>
      </c>
      <c r="D3" s="7" t="s">
        <v>34</v>
      </c>
      <c r="F3" s="6" t="s">
        <v>1</v>
      </c>
      <c r="G3" s="7" t="s">
        <v>2</v>
      </c>
      <c r="H3" s="7" t="s">
        <v>21</v>
      </c>
      <c r="I3" s="7" t="s">
        <v>34</v>
      </c>
      <c r="K3" s="6" t="s">
        <v>1</v>
      </c>
      <c r="L3" s="7" t="s">
        <v>2</v>
      </c>
      <c r="M3" s="7" t="s">
        <v>21</v>
      </c>
      <c r="N3" s="7" t="s">
        <v>34</v>
      </c>
      <c r="P3" s="6" t="s">
        <v>1</v>
      </c>
      <c r="Q3" s="7" t="s">
        <v>2</v>
      </c>
      <c r="R3" s="7" t="s">
        <v>21</v>
      </c>
      <c r="S3" s="7" t="s">
        <v>34</v>
      </c>
      <c r="V3" s="8" t="s">
        <v>37</v>
      </c>
      <c r="W3" s="4">
        <v>2.5</v>
      </c>
      <c r="X3" s="4">
        <v>1</v>
      </c>
    </row>
    <row r="4" spans="1:33" ht="15.5" x14ac:dyDescent="0.35">
      <c r="A4" s="9" t="s">
        <v>3</v>
      </c>
      <c r="B4" s="10"/>
      <c r="C4" s="11"/>
      <c r="D4" s="11"/>
      <c r="E4" s="4" t="s">
        <v>35</v>
      </c>
      <c r="F4" s="9" t="s">
        <v>4</v>
      </c>
      <c r="G4" s="12">
        <v>59899</v>
      </c>
      <c r="H4" s="11">
        <v>0.3</v>
      </c>
      <c r="I4" s="11">
        <v>2.6</v>
      </c>
      <c r="J4" s="4" t="s">
        <v>35</v>
      </c>
      <c r="K4" s="9" t="s">
        <v>4</v>
      </c>
      <c r="L4" s="13">
        <v>63916</v>
      </c>
      <c r="M4" s="11">
        <v>1.3</v>
      </c>
      <c r="N4" s="11">
        <v>1.9</v>
      </c>
      <c r="O4" s="4" t="s">
        <v>35</v>
      </c>
      <c r="P4" s="9" t="s">
        <v>4</v>
      </c>
      <c r="Q4" s="12">
        <v>73588</v>
      </c>
      <c r="R4" s="11">
        <v>0</v>
      </c>
      <c r="S4" s="11">
        <v>1.6</v>
      </c>
      <c r="T4" s="4" t="s">
        <v>35</v>
      </c>
      <c r="V4" s="4" t="s">
        <v>9</v>
      </c>
      <c r="W4" s="14">
        <f>T7</f>
        <v>1.1000000000000001</v>
      </c>
      <c r="X4" s="14">
        <f>T5</f>
        <v>0.3833333333333333</v>
      </c>
      <c r="AF4" s="4">
        <v>126.1</v>
      </c>
    </row>
    <row r="5" spans="1:33" ht="15.5" x14ac:dyDescent="0.35">
      <c r="A5" s="9" t="s">
        <v>4</v>
      </c>
      <c r="B5" s="10">
        <v>49955</v>
      </c>
      <c r="C5" s="11">
        <v>6.3</v>
      </c>
      <c r="D5" s="11">
        <v>4.2</v>
      </c>
      <c r="E5" s="14">
        <f>(C5+C6+C8)/3</f>
        <v>3.6333333333333329</v>
      </c>
      <c r="F5" s="9" t="s">
        <v>7</v>
      </c>
      <c r="G5" s="12">
        <v>63520</v>
      </c>
      <c r="H5" s="11">
        <v>4</v>
      </c>
      <c r="I5" s="11">
        <v>1.1000000000000001</v>
      </c>
      <c r="J5" s="14">
        <f>SUM(H4:H9)/4</f>
        <v>1.075</v>
      </c>
      <c r="K5" s="9" t="s">
        <v>7</v>
      </c>
      <c r="L5" s="15">
        <v>71429</v>
      </c>
      <c r="M5" s="11">
        <v>0.7</v>
      </c>
      <c r="N5" s="11">
        <v>1</v>
      </c>
      <c r="O5" s="14">
        <f>SUM(M4:M9)/6</f>
        <v>0.83333333333333337</v>
      </c>
      <c r="P5" s="9" t="s">
        <v>7</v>
      </c>
      <c r="Q5" s="12">
        <v>73469</v>
      </c>
      <c r="R5" s="11">
        <v>0</v>
      </c>
      <c r="S5" s="11">
        <v>0.8</v>
      </c>
      <c r="T5" s="14">
        <f>AVERAGE(R4:R9)</f>
        <v>0.3833333333333333</v>
      </c>
      <c r="V5" s="4" t="s">
        <v>56</v>
      </c>
      <c r="W5" s="14">
        <f>T52</f>
        <v>4.4863636363636363</v>
      </c>
      <c r="X5" s="14">
        <f>T50</f>
        <v>2.4499999999999997</v>
      </c>
      <c r="AC5" s="4">
        <v>113</v>
      </c>
      <c r="AD5" s="4">
        <v>140</v>
      </c>
      <c r="AF5" s="4">
        <v>125.9</v>
      </c>
    </row>
    <row r="6" spans="1:33" ht="15.5" x14ac:dyDescent="0.35">
      <c r="A6" s="9" t="s">
        <v>5</v>
      </c>
      <c r="B6" s="10">
        <v>53204</v>
      </c>
      <c r="C6" s="11">
        <v>0.3</v>
      </c>
      <c r="D6" s="11">
        <v>5.9</v>
      </c>
      <c r="E6" s="4" t="s">
        <v>59</v>
      </c>
      <c r="F6" s="9" t="s">
        <v>6</v>
      </c>
      <c r="G6" s="12"/>
      <c r="H6" s="11"/>
      <c r="I6" s="11"/>
      <c r="J6" s="4" t="s">
        <v>35</v>
      </c>
      <c r="K6" s="9" t="s">
        <v>6</v>
      </c>
      <c r="L6" s="15">
        <v>55955</v>
      </c>
      <c r="M6" s="11">
        <v>2.7</v>
      </c>
      <c r="N6" s="11">
        <v>6.3</v>
      </c>
      <c r="O6" s="4" t="s">
        <v>35</v>
      </c>
      <c r="P6" s="9" t="s">
        <v>6</v>
      </c>
      <c r="Q6" s="12">
        <v>65914</v>
      </c>
      <c r="R6" s="11">
        <v>1.3</v>
      </c>
      <c r="S6" s="11">
        <v>2.5</v>
      </c>
      <c r="T6" s="4" t="s">
        <v>35</v>
      </c>
      <c r="AA6" s="4">
        <v>132.5</v>
      </c>
      <c r="AB6" s="4">
        <v>124</v>
      </c>
      <c r="AC6" s="4">
        <v>115</v>
      </c>
      <c r="AD6" s="4">
        <v>106</v>
      </c>
      <c r="AF6" s="4">
        <v>197.5</v>
      </c>
    </row>
    <row r="7" spans="1:33" ht="15.5" x14ac:dyDescent="0.35">
      <c r="A7" s="9" t="s">
        <v>6</v>
      </c>
      <c r="B7" s="10"/>
      <c r="C7" s="11"/>
      <c r="D7" s="11"/>
      <c r="E7" s="14">
        <f>AVERAGE(D4:D9)</f>
        <v>3.9333333333333336</v>
      </c>
      <c r="F7" s="9" t="s">
        <v>5</v>
      </c>
      <c r="G7" s="12">
        <v>69459</v>
      </c>
      <c r="H7" s="11">
        <v>0</v>
      </c>
      <c r="I7" s="11">
        <v>2.5</v>
      </c>
      <c r="J7" s="14">
        <f>AVERAGE(I4:I9)</f>
        <v>2.125</v>
      </c>
      <c r="K7" s="9" t="s">
        <v>5</v>
      </c>
      <c r="L7" s="15">
        <v>55714</v>
      </c>
      <c r="M7" s="11">
        <v>0.3</v>
      </c>
      <c r="N7" s="11">
        <v>1.7</v>
      </c>
      <c r="O7" s="14">
        <f>AVERAGE(N4:N9)</f>
        <v>2.4199999999999995</v>
      </c>
      <c r="P7" s="9" t="s">
        <v>5</v>
      </c>
      <c r="Q7" s="12">
        <v>56429</v>
      </c>
      <c r="R7" s="11">
        <v>1</v>
      </c>
      <c r="S7" s="11">
        <v>1</v>
      </c>
      <c r="T7" s="14">
        <f>AVERAGE(S4:S9)</f>
        <v>1.1000000000000001</v>
      </c>
      <c r="W7" s="8" t="s">
        <v>37</v>
      </c>
      <c r="X7" s="4" t="s">
        <v>9</v>
      </c>
      <c r="AA7" s="4">
        <v>123.2</v>
      </c>
      <c r="AB7" s="4">
        <v>98</v>
      </c>
      <c r="AC7" s="4">
        <v>137</v>
      </c>
      <c r="AD7" s="4">
        <v>61.1</v>
      </c>
      <c r="AE7" s="4">
        <v>160.69999999999999</v>
      </c>
      <c r="AF7" s="4">
        <v>116.5</v>
      </c>
    </row>
    <row r="8" spans="1:33" x14ac:dyDescent="0.35">
      <c r="A8" s="9" t="s">
        <v>7</v>
      </c>
      <c r="B8" s="10">
        <v>54628</v>
      </c>
      <c r="C8" s="11">
        <v>4.3</v>
      </c>
      <c r="D8" s="11">
        <v>1.7</v>
      </c>
      <c r="E8" s="4" t="s">
        <v>36</v>
      </c>
      <c r="F8" s="9" t="s">
        <v>3</v>
      </c>
      <c r="G8" s="12"/>
      <c r="H8" s="11"/>
      <c r="I8" s="11"/>
      <c r="J8" s="4" t="s">
        <v>36</v>
      </c>
      <c r="K8" s="9" t="s">
        <v>3</v>
      </c>
      <c r="L8" s="12"/>
      <c r="M8" s="11"/>
      <c r="N8" s="11"/>
      <c r="O8" s="4" t="s">
        <v>36</v>
      </c>
      <c r="P8" s="9" t="s">
        <v>3</v>
      </c>
      <c r="Q8" s="12">
        <v>60784</v>
      </c>
      <c r="R8" s="11">
        <v>0</v>
      </c>
      <c r="S8" s="11">
        <v>0</v>
      </c>
      <c r="T8" s="4" t="s">
        <v>36</v>
      </c>
      <c r="V8" s="4" t="s">
        <v>39</v>
      </c>
      <c r="W8" s="4">
        <v>2.5</v>
      </c>
      <c r="X8" s="14">
        <v>1.1000000000000001</v>
      </c>
      <c r="AA8" s="4">
        <v>141</v>
      </c>
      <c r="AB8" s="4">
        <v>132</v>
      </c>
      <c r="AC8" s="4">
        <v>150</v>
      </c>
      <c r="AD8" s="4">
        <v>42.3</v>
      </c>
      <c r="AE8" s="4">
        <v>186.2</v>
      </c>
    </row>
    <row r="9" spans="1:33" ht="15.5" x14ac:dyDescent="0.35">
      <c r="A9" s="9" t="s">
        <v>8</v>
      </c>
      <c r="B9" s="10"/>
      <c r="C9" s="11"/>
      <c r="D9" s="11"/>
      <c r="E9" s="16">
        <f>AVERAGE(B4:B9)</f>
        <v>52595.666666666664</v>
      </c>
      <c r="F9" s="9" t="s">
        <v>8</v>
      </c>
      <c r="G9" s="17">
        <v>60000</v>
      </c>
      <c r="H9" s="11">
        <v>0</v>
      </c>
      <c r="I9" s="11">
        <v>2.2999999999999998</v>
      </c>
      <c r="J9" s="16">
        <f>AVERAGE(G4:G9)</f>
        <v>63219.5</v>
      </c>
      <c r="K9" s="9" t="s">
        <v>8</v>
      </c>
      <c r="L9" s="15">
        <v>63000</v>
      </c>
      <c r="M9" s="11">
        <v>0</v>
      </c>
      <c r="N9" s="11">
        <v>1.2</v>
      </c>
      <c r="O9" s="16">
        <f>AVERAGE(L4:L9)</f>
        <v>62002.8</v>
      </c>
      <c r="P9" s="9" t="s">
        <v>8</v>
      </c>
      <c r="Q9" s="12">
        <v>64916</v>
      </c>
      <c r="R9" s="11">
        <v>0</v>
      </c>
      <c r="S9" s="11">
        <v>0.7</v>
      </c>
      <c r="T9" s="16">
        <f>AVERAGE(Q4:Q9)</f>
        <v>65850</v>
      </c>
      <c r="V9" s="4" t="s">
        <v>40</v>
      </c>
      <c r="W9" s="4">
        <v>1</v>
      </c>
      <c r="X9" s="14">
        <v>0.38</v>
      </c>
      <c r="AA9" s="4">
        <f>AVERAGE(AA6:AA8)</f>
        <v>132.23333333333332</v>
      </c>
      <c r="AB9" s="4">
        <f>AVERAGE(AB6:AB8)</f>
        <v>118</v>
      </c>
      <c r="AC9" s="4">
        <f>AVERAGE(AC5:AC8)</f>
        <v>128.75</v>
      </c>
      <c r="AD9" s="4">
        <f>AVERAGE(AD5:AD8)</f>
        <v>87.350000000000009</v>
      </c>
      <c r="AE9" s="4">
        <f>AVERAGE(AE6:AE8)</f>
        <v>173.45</v>
      </c>
      <c r="AF9" s="4">
        <f>AVERAGE(AF4:AF8)</f>
        <v>141.5</v>
      </c>
      <c r="AG9" s="4">
        <f>AVERAGE(AA9:AF9)</f>
        <v>130.21388888888887</v>
      </c>
    </row>
    <row r="10" spans="1:33" x14ac:dyDescent="0.35">
      <c r="B10" s="18"/>
      <c r="C10" s="18"/>
      <c r="D10" s="18"/>
      <c r="E10" s="16"/>
      <c r="G10" s="5"/>
      <c r="H10" s="5"/>
      <c r="I10" s="5"/>
      <c r="J10" s="16"/>
      <c r="L10" s="5"/>
      <c r="M10" s="5"/>
      <c r="N10" s="5"/>
      <c r="O10" s="16"/>
      <c r="AA10" s="19"/>
    </row>
    <row r="11" spans="1:33" x14ac:dyDescent="0.35">
      <c r="A11" s="4" t="s">
        <v>10</v>
      </c>
      <c r="B11" s="18"/>
      <c r="C11" s="18"/>
      <c r="D11" s="18"/>
      <c r="E11" s="16">
        <f>(C5+C6+C8)/3</f>
        <v>3.6333333333333329</v>
      </c>
      <c r="F11" s="4" t="s">
        <v>13</v>
      </c>
      <c r="G11" s="5"/>
      <c r="H11" s="5"/>
      <c r="I11" s="5"/>
      <c r="J11" s="16"/>
      <c r="K11" s="4" t="s">
        <v>17</v>
      </c>
      <c r="L11" s="5"/>
      <c r="M11" s="5"/>
      <c r="N11" s="5"/>
      <c r="O11" s="16"/>
      <c r="AA11" s="19"/>
    </row>
    <row r="12" spans="1:33" x14ac:dyDescent="0.35">
      <c r="A12" s="6" t="s">
        <v>1</v>
      </c>
      <c r="B12" s="20" t="s">
        <v>2</v>
      </c>
      <c r="C12" s="7" t="s">
        <v>21</v>
      </c>
      <c r="D12" s="7" t="s">
        <v>34</v>
      </c>
      <c r="E12" s="16"/>
      <c r="F12" s="6" t="s">
        <v>1</v>
      </c>
      <c r="G12" s="7" t="s">
        <v>2</v>
      </c>
      <c r="H12" s="7" t="s">
        <v>21</v>
      </c>
      <c r="I12" s="7" t="s">
        <v>34</v>
      </c>
      <c r="J12" s="16"/>
      <c r="K12" s="6" t="s">
        <v>1</v>
      </c>
      <c r="L12" s="7" t="s">
        <v>2</v>
      </c>
      <c r="M12" s="7" t="s">
        <v>21</v>
      </c>
      <c r="N12" s="7" t="s">
        <v>34</v>
      </c>
      <c r="O12" s="16"/>
      <c r="AA12" s="19"/>
    </row>
    <row r="13" spans="1:33" x14ac:dyDescent="0.35">
      <c r="A13" s="9" t="s">
        <v>3</v>
      </c>
      <c r="B13" s="10"/>
      <c r="C13" s="11"/>
      <c r="D13" s="11"/>
      <c r="E13" s="4" t="s">
        <v>35</v>
      </c>
      <c r="F13" s="9" t="s">
        <v>4</v>
      </c>
      <c r="G13" s="21">
        <v>59905</v>
      </c>
      <c r="H13" s="11">
        <v>0</v>
      </c>
      <c r="I13" s="11">
        <v>2</v>
      </c>
      <c r="J13" s="4" t="s">
        <v>35</v>
      </c>
      <c r="K13" s="9" t="s">
        <v>4</v>
      </c>
      <c r="L13" s="21">
        <v>64114</v>
      </c>
      <c r="M13" s="11">
        <v>2.2999999999999998</v>
      </c>
      <c r="N13" s="11">
        <v>2</v>
      </c>
      <c r="O13" s="4" t="s">
        <v>35</v>
      </c>
      <c r="AA13" s="19"/>
    </row>
    <row r="14" spans="1:33" x14ac:dyDescent="0.35">
      <c r="A14" s="9" t="s">
        <v>4</v>
      </c>
      <c r="B14" s="21">
        <v>56726</v>
      </c>
      <c r="C14" s="11">
        <v>2</v>
      </c>
      <c r="D14" s="11">
        <v>3.2</v>
      </c>
      <c r="E14" s="14">
        <f>(C14+C15+C17+C18)/4</f>
        <v>1.3</v>
      </c>
      <c r="F14" s="9" t="s">
        <v>7</v>
      </c>
      <c r="G14" s="21">
        <v>68878</v>
      </c>
      <c r="H14" s="11">
        <v>0.3</v>
      </c>
      <c r="I14" s="11">
        <v>1.1000000000000001</v>
      </c>
      <c r="J14" s="14">
        <f>SUM(H13:H18)/4</f>
        <v>0.32500000000000001</v>
      </c>
      <c r="K14" s="9" t="s">
        <v>7</v>
      </c>
      <c r="L14" s="21">
        <v>73469</v>
      </c>
      <c r="M14" s="11">
        <v>0.7</v>
      </c>
      <c r="N14" s="11">
        <v>1</v>
      </c>
      <c r="O14" s="14">
        <f>SUM(M13:M18)/5</f>
        <v>0.6</v>
      </c>
    </row>
    <row r="15" spans="1:33" x14ac:dyDescent="0.35">
      <c r="A15" s="9" t="s">
        <v>5</v>
      </c>
      <c r="B15" s="10">
        <v>46714</v>
      </c>
      <c r="C15" s="11">
        <v>-2.2999999999999998</v>
      </c>
      <c r="D15" s="11">
        <v>2.9</v>
      </c>
      <c r="E15" s="4" t="s">
        <v>35</v>
      </c>
      <c r="F15" s="9" t="s">
        <v>6</v>
      </c>
      <c r="G15" s="12"/>
      <c r="H15" s="11"/>
      <c r="I15" s="11"/>
      <c r="J15" s="4" t="s">
        <v>35</v>
      </c>
      <c r="K15" s="9" t="s">
        <v>6</v>
      </c>
      <c r="L15" s="21">
        <v>56946</v>
      </c>
      <c r="M15" s="11">
        <v>0</v>
      </c>
      <c r="N15" s="11">
        <v>3.2</v>
      </c>
      <c r="O15" s="4" t="s">
        <v>35</v>
      </c>
    </row>
    <row r="16" spans="1:33" x14ac:dyDescent="0.35">
      <c r="A16" s="9" t="s">
        <v>6</v>
      </c>
      <c r="B16" s="10"/>
      <c r="C16" s="11"/>
      <c r="D16" s="11"/>
      <c r="E16" s="14">
        <f>AVERAGE(D13:D18)</f>
        <v>3.6749999999999998</v>
      </c>
      <c r="F16" s="9" t="s">
        <v>5</v>
      </c>
      <c r="G16" s="21">
        <v>72399</v>
      </c>
      <c r="H16" s="11">
        <v>1</v>
      </c>
      <c r="I16" s="11">
        <v>2.2999999999999998</v>
      </c>
      <c r="J16" s="14">
        <f>AVERAGE(I13:I18)</f>
        <v>1.7750000000000001</v>
      </c>
      <c r="K16" s="9" t="s">
        <v>5</v>
      </c>
      <c r="L16" s="21">
        <v>78614</v>
      </c>
      <c r="M16" s="11">
        <v>0</v>
      </c>
      <c r="N16" s="11">
        <v>1.3</v>
      </c>
      <c r="O16" s="14">
        <f>AVERAGE(N13:N18)</f>
        <v>1.72</v>
      </c>
    </row>
    <row r="17" spans="1:18" x14ac:dyDescent="0.35">
      <c r="A17" s="9" t="s">
        <v>7</v>
      </c>
      <c r="B17" s="10">
        <v>62121</v>
      </c>
      <c r="C17" s="11">
        <v>0</v>
      </c>
      <c r="D17" s="11">
        <v>1.3</v>
      </c>
      <c r="E17" s="4" t="s">
        <v>36</v>
      </c>
      <c r="F17" s="9" t="s">
        <v>3</v>
      </c>
      <c r="G17" s="21"/>
      <c r="H17" s="11"/>
      <c r="I17" s="11"/>
      <c r="J17" s="4" t="s">
        <v>36</v>
      </c>
      <c r="K17" s="9" t="s">
        <v>3</v>
      </c>
      <c r="L17" s="21"/>
      <c r="M17" s="11"/>
      <c r="N17" s="11"/>
      <c r="O17" s="4" t="s">
        <v>36</v>
      </c>
      <c r="R17" s="19"/>
    </row>
    <row r="18" spans="1:18" x14ac:dyDescent="0.35">
      <c r="A18" s="9" t="s">
        <v>8</v>
      </c>
      <c r="B18" s="10">
        <v>60000</v>
      </c>
      <c r="C18" s="11">
        <v>5.5</v>
      </c>
      <c r="D18" s="11">
        <v>7.3</v>
      </c>
      <c r="E18" s="16">
        <f>AVERAGE(B13:B18)</f>
        <v>56390.25</v>
      </c>
      <c r="F18" s="9" t="s">
        <v>8</v>
      </c>
      <c r="G18" s="21">
        <v>60000</v>
      </c>
      <c r="H18" s="11">
        <v>0</v>
      </c>
      <c r="I18" s="11">
        <v>1.7</v>
      </c>
      <c r="J18" s="16">
        <f>AVERAGE(G13:G18)</f>
        <v>65295.5</v>
      </c>
      <c r="K18" s="9" t="s">
        <v>8</v>
      </c>
      <c r="L18" s="21">
        <v>63000</v>
      </c>
      <c r="M18" s="11">
        <v>0</v>
      </c>
      <c r="N18" s="11">
        <v>1.1000000000000001</v>
      </c>
      <c r="O18" s="16">
        <f>AVERAGE(L13:L18)</f>
        <v>67228.600000000006</v>
      </c>
      <c r="R18" s="19"/>
    </row>
    <row r="19" spans="1:18" x14ac:dyDescent="0.35">
      <c r="B19" s="18"/>
      <c r="C19" s="18"/>
      <c r="D19" s="18"/>
      <c r="E19" s="16"/>
      <c r="G19" s="5"/>
      <c r="H19" s="5"/>
      <c r="I19" s="5"/>
      <c r="J19" s="16"/>
      <c r="L19" s="5"/>
      <c r="M19" s="5"/>
      <c r="N19" s="5"/>
      <c r="O19" s="16"/>
      <c r="R19" s="19"/>
    </row>
    <row r="20" spans="1:18" x14ac:dyDescent="0.35">
      <c r="A20" s="4" t="s">
        <v>11</v>
      </c>
      <c r="B20" s="18"/>
      <c r="C20" s="18"/>
      <c r="D20" s="18"/>
      <c r="E20" s="16"/>
      <c r="F20" s="4" t="s">
        <v>14</v>
      </c>
      <c r="G20" s="5"/>
      <c r="H20" s="5"/>
      <c r="I20" s="5"/>
      <c r="J20" s="16"/>
      <c r="K20" s="4" t="s">
        <v>18</v>
      </c>
      <c r="L20" s="5"/>
      <c r="M20" s="5"/>
      <c r="N20" s="5"/>
      <c r="O20" s="16"/>
      <c r="R20" s="19"/>
    </row>
    <row r="21" spans="1:18" x14ac:dyDescent="0.35">
      <c r="A21" s="6" t="s">
        <v>1</v>
      </c>
      <c r="B21" s="20" t="s">
        <v>2</v>
      </c>
      <c r="C21" s="7" t="s">
        <v>21</v>
      </c>
      <c r="D21" s="7" t="s">
        <v>34</v>
      </c>
      <c r="E21" s="16"/>
      <c r="F21" s="6" t="s">
        <v>1</v>
      </c>
      <c r="G21" s="7" t="s">
        <v>2</v>
      </c>
      <c r="H21" s="7" t="s">
        <v>21</v>
      </c>
      <c r="I21" s="7" t="s">
        <v>34</v>
      </c>
      <c r="J21" s="16"/>
      <c r="K21" s="6" t="s">
        <v>1</v>
      </c>
      <c r="L21" s="7" t="s">
        <v>2</v>
      </c>
      <c r="M21" s="7" t="s">
        <v>21</v>
      </c>
      <c r="N21" s="7" t="s">
        <v>34</v>
      </c>
      <c r="O21" s="16"/>
    </row>
    <row r="22" spans="1:18" x14ac:dyDescent="0.35">
      <c r="A22" s="9" t="s">
        <v>3</v>
      </c>
      <c r="B22" s="10"/>
      <c r="C22" s="11"/>
      <c r="D22" s="11"/>
      <c r="E22" s="4" t="s">
        <v>35</v>
      </c>
      <c r="F22" s="9" t="s">
        <v>4</v>
      </c>
      <c r="G22" s="21">
        <v>63916</v>
      </c>
      <c r="H22" s="11">
        <v>2.7</v>
      </c>
      <c r="I22" s="11">
        <v>2.1</v>
      </c>
      <c r="J22" s="4" t="s">
        <v>35</v>
      </c>
      <c r="K22" s="9" t="s">
        <v>4</v>
      </c>
      <c r="L22" s="21">
        <v>68914</v>
      </c>
      <c r="M22" s="11">
        <v>1.3</v>
      </c>
      <c r="N22" s="11">
        <v>1.9</v>
      </c>
      <c r="O22" s="4" t="s">
        <v>35</v>
      </c>
    </row>
    <row r="23" spans="1:18" x14ac:dyDescent="0.35">
      <c r="A23" s="9" t="s">
        <v>4</v>
      </c>
      <c r="B23" s="10">
        <v>58231</v>
      </c>
      <c r="C23" s="11">
        <v>2.2999999999999998</v>
      </c>
      <c r="D23" s="11">
        <v>3.2</v>
      </c>
      <c r="E23" s="14">
        <f>SUM(C23:C27)/4</f>
        <v>1.65</v>
      </c>
      <c r="F23" s="9" t="s">
        <v>7</v>
      </c>
      <c r="G23" s="21">
        <v>74198</v>
      </c>
      <c r="H23" s="11">
        <v>0.7</v>
      </c>
      <c r="I23" s="11">
        <v>1</v>
      </c>
      <c r="J23" s="14">
        <f>SUM(H22:H27)/4</f>
        <v>1.35</v>
      </c>
      <c r="K23" s="9" t="s">
        <v>7</v>
      </c>
      <c r="L23" s="21">
        <v>73469</v>
      </c>
      <c r="M23" s="11">
        <v>0.7</v>
      </c>
      <c r="N23" s="11">
        <v>1</v>
      </c>
      <c r="O23" s="14">
        <f>AVERAGE(M22:M27)</f>
        <v>0.54999999999999993</v>
      </c>
    </row>
    <row r="24" spans="1:18" x14ac:dyDescent="0.35">
      <c r="A24" s="9" t="s">
        <v>5</v>
      </c>
      <c r="B24" s="10">
        <v>55968</v>
      </c>
      <c r="C24" s="11">
        <v>4.3</v>
      </c>
      <c r="D24" s="11">
        <v>3.5</v>
      </c>
      <c r="E24" s="4" t="s">
        <v>35</v>
      </c>
      <c r="F24" s="9" t="s">
        <v>6</v>
      </c>
      <c r="G24" s="12"/>
      <c r="H24" s="11"/>
      <c r="I24" s="11"/>
      <c r="J24" s="4" t="s">
        <v>35</v>
      </c>
      <c r="K24" s="9" t="s">
        <v>6</v>
      </c>
      <c r="L24" s="21">
        <v>56946</v>
      </c>
      <c r="M24" s="11">
        <v>1.3</v>
      </c>
      <c r="N24" s="11">
        <v>2.8</v>
      </c>
      <c r="O24" s="4" t="s">
        <v>35</v>
      </c>
    </row>
    <row r="25" spans="1:18" x14ac:dyDescent="0.35">
      <c r="A25" s="9" t="s">
        <v>6</v>
      </c>
      <c r="B25" s="10"/>
      <c r="C25" s="11"/>
      <c r="D25" s="11"/>
      <c r="E25" s="14">
        <f>AVERAGE(D22:D27)</f>
        <v>2.75</v>
      </c>
      <c r="F25" s="9" t="s">
        <v>5</v>
      </c>
      <c r="G25" s="21">
        <v>53571</v>
      </c>
      <c r="H25" s="11">
        <v>0</v>
      </c>
      <c r="I25" s="11">
        <v>1.9</v>
      </c>
      <c r="J25" s="14">
        <f>AVERAGE(I22:I27)</f>
        <v>1.675</v>
      </c>
      <c r="K25" s="9" t="s">
        <v>5</v>
      </c>
      <c r="L25" s="21">
        <v>57679</v>
      </c>
      <c r="M25" s="11">
        <v>0</v>
      </c>
      <c r="N25" s="11">
        <v>1</v>
      </c>
      <c r="O25" s="14">
        <f>AVERAGE(N22:N27)</f>
        <v>1.2833333333333332</v>
      </c>
    </row>
    <row r="26" spans="1:18" x14ac:dyDescent="0.35">
      <c r="A26" s="9" t="s">
        <v>7</v>
      </c>
      <c r="B26" s="10">
        <v>59541</v>
      </c>
      <c r="C26" s="36">
        <v>0</v>
      </c>
      <c r="D26" s="11">
        <v>0.8</v>
      </c>
      <c r="E26" s="4" t="s">
        <v>36</v>
      </c>
      <c r="F26" s="9" t="s">
        <v>3</v>
      </c>
      <c r="G26" s="21"/>
      <c r="H26" s="11"/>
      <c r="I26" s="11"/>
      <c r="J26" s="4" t="s">
        <v>36</v>
      </c>
      <c r="K26" s="9" t="s">
        <v>3</v>
      </c>
      <c r="L26" s="21">
        <v>51773</v>
      </c>
      <c r="M26" s="11">
        <v>0</v>
      </c>
      <c r="N26" s="11">
        <v>0</v>
      </c>
      <c r="O26" s="4" t="s">
        <v>36</v>
      </c>
    </row>
    <row r="27" spans="1:18" x14ac:dyDescent="0.35">
      <c r="A27" s="9" t="s">
        <v>8</v>
      </c>
      <c r="B27" s="10">
        <v>60000</v>
      </c>
      <c r="C27" s="11">
        <v>0</v>
      </c>
      <c r="D27" s="11">
        <v>3.5</v>
      </c>
      <c r="E27" s="16">
        <f>AVERAGE(B22:B27)</f>
        <v>58435</v>
      </c>
      <c r="F27" s="9" t="s">
        <v>8</v>
      </c>
      <c r="G27" s="21">
        <v>63000</v>
      </c>
      <c r="H27" s="11">
        <v>2</v>
      </c>
      <c r="I27" s="11">
        <v>1.7</v>
      </c>
      <c r="J27" s="16">
        <f>AVERAGE(G22:G27)</f>
        <v>63671.25</v>
      </c>
      <c r="K27" s="9" t="s">
        <v>8</v>
      </c>
      <c r="L27" s="21">
        <v>63000</v>
      </c>
      <c r="M27" s="11">
        <v>0</v>
      </c>
      <c r="N27" s="11">
        <v>1</v>
      </c>
      <c r="O27" s="16">
        <f>AVERAGE(L22:L27)</f>
        <v>61963.5</v>
      </c>
    </row>
    <row r="28" spans="1:18" x14ac:dyDescent="0.35">
      <c r="J28" s="16"/>
      <c r="O28" s="16"/>
    </row>
    <row r="29" spans="1:18" x14ac:dyDescent="0.35">
      <c r="F29" s="4" t="s">
        <v>15</v>
      </c>
      <c r="G29" s="5"/>
      <c r="H29" s="5"/>
      <c r="I29" s="5"/>
      <c r="J29" s="16"/>
      <c r="K29" s="4" t="s">
        <v>19</v>
      </c>
      <c r="L29" s="5"/>
      <c r="M29" s="5"/>
      <c r="N29" s="5"/>
      <c r="O29" s="16"/>
    </row>
    <row r="30" spans="1:18" x14ac:dyDescent="0.35">
      <c r="F30" s="6" t="s">
        <v>1</v>
      </c>
      <c r="G30" s="7" t="s">
        <v>2</v>
      </c>
      <c r="H30" s="7" t="s">
        <v>21</v>
      </c>
      <c r="I30" s="7" t="s">
        <v>34</v>
      </c>
      <c r="J30" s="16"/>
      <c r="K30" s="6" t="s">
        <v>1</v>
      </c>
      <c r="L30" s="7" t="s">
        <v>2</v>
      </c>
      <c r="M30" s="7" t="s">
        <v>21</v>
      </c>
      <c r="N30" s="7" t="s">
        <v>34</v>
      </c>
      <c r="O30" s="16"/>
    </row>
    <row r="31" spans="1:18" x14ac:dyDescent="0.35">
      <c r="F31" s="9" t="s">
        <v>4</v>
      </c>
      <c r="G31" s="21">
        <v>63916</v>
      </c>
      <c r="H31" s="11">
        <v>1.3</v>
      </c>
      <c r="I31" s="11">
        <v>2</v>
      </c>
      <c r="J31" s="4" t="s">
        <v>35</v>
      </c>
      <c r="K31" s="9" t="s">
        <v>4</v>
      </c>
      <c r="L31" s="21">
        <v>73588</v>
      </c>
      <c r="M31" s="11">
        <v>0</v>
      </c>
      <c r="N31" s="11">
        <v>1.7</v>
      </c>
      <c r="O31" s="4" t="s">
        <v>35</v>
      </c>
    </row>
    <row r="32" spans="1:18" x14ac:dyDescent="0.35">
      <c r="F32" s="9" t="s">
        <v>7</v>
      </c>
      <c r="G32" s="21">
        <v>71429</v>
      </c>
      <c r="H32" s="11">
        <v>1.3</v>
      </c>
      <c r="I32" s="11">
        <v>1.1000000000000001</v>
      </c>
      <c r="J32" s="14">
        <f>SUM(H31:H36)/4</f>
        <v>0.97499999999999998</v>
      </c>
      <c r="K32" s="9" t="s">
        <v>7</v>
      </c>
      <c r="L32" s="21">
        <v>73469</v>
      </c>
      <c r="M32" s="11">
        <v>0</v>
      </c>
      <c r="N32" s="11">
        <v>0.9</v>
      </c>
      <c r="O32" s="14">
        <f>SUM(M31:M36)/6</f>
        <v>0.39999999999999997</v>
      </c>
    </row>
    <row r="33" spans="1:20" x14ac:dyDescent="0.35">
      <c r="F33" s="9" t="s">
        <v>6</v>
      </c>
      <c r="G33" s="12"/>
      <c r="H33" s="11"/>
      <c r="I33" s="11"/>
      <c r="J33" s="4" t="s">
        <v>35</v>
      </c>
      <c r="K33" s="9" t="s">
        <v>6</v>
      </c>
      <c r="L33" s="21">
        <v>64036</v>
      </c>
      <c r="M33" s="11">
        <v>0.7</v>
      </c>
      <c r="N33" s="11">
        <v>2.8</v>
      </c>
      <c r="O33" s="4" t="s">
        <v>35</v>
      </c>
    </row>
    <row r="34" spans="1:20" x14ac:dyDescent="0.35">
      <c r="F34" s="9" t="s">
        <v>5</v>
      </c>
      <c r="G34" s="21">
        <v>72650</v>
      </c>
      <c r="H34" s="11">
        <v>1</v>
      </c>
      <c r="I34" s="11">
        <v>1.8</v>
      </c>
      <c r="J34" s="14">
        <f>AVERAGE(I31:I36)</f>
        <v>1.6</v>
      </c>
      <c r="K34" s="9" t="s">
        <v>5</v>
      </c>
      <c r="L34" s="21">
        <v>56429</v>
      </c>
      <c r="M34" s="11">
        <v>1</v>
      </c>
      <c r="N34" s="11">
        <v>1</v>
      </c>
      <c r="O34" s="14">
        <f>AVERAGE(N31:N36)</f>
        <v>1.3</v>
      </c>
    </row>
    <row r="35" spans="1:20" x14ac:dyDescent="0.35">
      <c r="F35" s="9" t="s">
        <v>3</v>
      </c>
      <c r="G35" s="21"/>
      <c r="H35" s="11"/>
      <c r="I35" s="11"/>
      <c r="J35" s="4" t="s">
        <v>36</v>
      </c>
      <c r="K35" s="9" t="s">
        <v>3</v>
      </c>
      <c r="L35" s="21">
        <v>51773</v>
      </c>
      <c r="M35" s="11">
        <v>0.7</v>
      </c>
      <c r="N35" s="11">
        <v>0.5</v>
      </c>
      <c r="O35" s="4" t="s">
        <v>36</v>
      </c>
    </row>
    <row r="36" spans="1:20" x14ac:dyDescent="0.35">
      <c r="F36" s="9" t="s">
        <v>8</v>
      </c>
      <c r="G36" s="21">
        <v>63000</v>
      </c>
      <c r="H36" s="11">
        <v>0.3</v>
      </c>
      <c r="I36" s="11">
        <v>1.5</v>
      </c>
      <c r="J36" s="16">
        <f>AVERAGE(G31:G36)</f>
        <v>67748.75</v>
      </c>
      <c r="K36" s="9" t="s">
        <v>8</v>
      </c>
      <c r="L36" s="21">
        <v>63000</v>
      </c>
      <c r="M36" s="11">
        <v>0</v>
      </c>
      <c r="N36" s="11">
        <v>0.9</v>
      </c>
      <c r="O36" s="16">
        <f>AVERAGE(L31:L36)</f>
        <v>63715.833333333336</v>
      </c>
    </row>
    <row r="38" spans="1:20" s="28" customFormat="1" x14ac:dyDescent="0.35">
      <c r="B38" s="29"/>
      <c r="C38" s="29"/>
      <c r="D38" s="29"/>
    </row>
    <row r="39" spans="1:20" s="28" customFormat="1" x14ac:dyDescent="0.35">
      <c r="B39" s="29"/>
      <c r="C39" s="29"/>
      <c r="D39" s="29"/>
    </row>
    <row r="41" spans="1:20" x14ac:dyDescent="0.35">
      <c r="A41" s="3" t="s">
        <v>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35">
      <c r="A42" s="4" t="s">
        <v>0</v>
      </c>
      <c r="F42" s="4" t="s">
        <v>12</v>
      </c>
      <c r="G42" s="5"/>
      <c r="H42" s="5"/>
      <c r="I42" s="5"/>
      <c r="K42" s="4" t="s">
        <v>16</v>
      </c>
      <c r="L42" s="5"/>
      <c r="M42" s="5"/>
      <c r="N42" s="5"/>
      <c r="P42" s="4" t="s">
        <v>20</v>
      </c>
      <c r="Q42" s="5"/>
      <c r="R42" s="5"/>
      <c r="S42" s="5"/>
    </row>
    <row r="43" spans="1:20" x14ac:dyDescent="0.35">
      <c r="A43" s="6" t="s">
        <v>1</v>
      </c>
      <c r="B43" s="7" t="s">
        <v>2</v>
      </c>
      <c r="C43" s="7" t="s">
        <v>21</v>
      </c>
      <c r="D43" s="7" t="s">
        <v>34</v>
      </c>
      <c r="F43" s="6" t="s">
        <v>1</v>
      </c>
      <c r="G43" s="7" t="s">
        <v>2</v>
      </c>
      <c r="H43" s="7" t="s">
        <v>21</v>
      </c>
      <c r="I43" s="7" t="s">
        <v>34</v>
      </c>
      <c r="K43" s="6" t="s">
        <v>1</v>
      </c>
      <c r="L43" s="7" t="s">
        <v>2</v>
      </c>
      <c r="M43" s="7" t="s">
        <v>21</v>
      </c>
      <c r="N43" s="7" t="s">
        <v>34</v>
      </c>
      <c r="P43" s="6" t="s">
        <v>1</v>
      </c>
      <c r="Q43" s="7" t="s">
        <v>2</v>
      </c>
      <c r="R43" s="7" t="s">
        <v>21</v>
      </c>
      <c r="S43" s="7" t="s">
        <v>34</v>
      </c>
    </row>
    <row r="44" spans="1:20" x14ac:dyDescent="0.35">
      <c r="A44" s="31" t="s">
        <v>46</v>
      </c>
      <c r="B44" s="10">
        <v>53246</v>
      </c>
      <c r="C44" s="11">
        <v>0</v>
      </c>
      <c r="D44" s="11">
        <v>17.5</v>
      </c>
      <c r="F44" s="31" t="s">
        <v>46</v>
      </c>
      <c r="G44" s="37">
        <v>56225</v>
      </c>
      <c r="H44" s="4">
        <v>7.7</v>
      </c>
      <c r="I44" s="4">
        <v>31.2</v>
      </c>
      <c r="K44" s="31" t="s">
        <v>46</v>
      </c>
      <c r="L44" s="39">
        <f>(61364+60455)/2</f>
        <v>60909.5</v>
      </c>
      <c r="M44" s="4">
        <f>(1+0.7)/2</f>
        <v>0.85</v>
      </c>
      <c r="N44" s="4">
        <f>(13.3+2.3)/2</f>
        <v>7.8000000000000007</v>
      </c>
      <c r="P44" s="31" t="s">
        <v>46</v>
      </c>
      <c r="Q44" s="4">
        <f>(61777+62222)/2</f>
        <v>61999.5</v>
      </c>
      <c r="R44" s="4">
        <f>(0.7+3.3)/2</f>
        <v>2</v>
      </c>
      <c r="S44" s="4">
        <f>(1.4+9.9)/2</f>
        <v>5.65</v>
      </c>
    </row>
    <row r="45" spans="1:20" x14ac:dyDescent="0.35">
      <c r="A45" s="32" t="s">
        <v>44</v>
      </c>
      <c r="B45" s="10"/>
      <c r="C45" s="11"/>
      <c r="D45" s="11"/>
      <c r="F45" s="31" t="s">
        <v>44</v>
      </c>
      <c r="G45" s="12"/>
      <c r="H45" s="11"/>
      <c r="I45" s="11"/>
      <c r="K45" s="31" t="s">
        <v>44</v>
      </c>
      <c r="L45" s="37">
        <v>67467</v>
      </c>
      <c r="M45" s="4">
        <v>14.3</v>
      </c>
      <c r="N45" s="4">
        <v>14.3</v>
      </c>
      <c r="P45" s="31" t="s">
        <v>44</v>
      </c>
      <c r="Q45" s="12">
        <v>65017</v>
      </c>
      <c r="R45" s="11">
        <v>5.3</v>
      </c>
      <c r="S45" s="11">
        <v>10.4</v>
      </c>
    </row>
    <row r="46" spans="1:20" ht="15.5" x14ac:dyDescent="0.35">
      <c r="A46" s="32" t="s">
        <v>48</v>
      </c>
      <c r="B46" s="10"/>
      <c r="C46" s="11"/>
      <c r="D46" s="11"/>
      <c r="F46" s="31" t="s">
        <v>48</v>
      </c>
      <c r="G46" s="12"/>
      <c r="H46" s="11"/>
      <c r="I46" s="11"/>
      <c r="K46" s="31" t="s">
        <v>48</v>
      </c>
      <c r="L46" s="15"/>
      <c r="M46" s="11"/>
      <c r="N46" s="11"/>
      <c r="P46" s="31" t="s">
        <v>48</v>
      </c>
      <c r="Q46" s="12">
        <v>75215</v>
      </c>
      <c r="R46" s="11">
        <v>0</v>
      </c>
      <c r="S46" s="11">
        <v>6.4</v>
      </c>
      <c r="T46" s="14"/>
    </row>
    <row r="47" spans="1:20" ht="15.5" x14ac:dyDescent="0.35">
      <c r="A47" s="31" t="s">
        <v>50</v>
      </c>
      <c r="B47" s="10">
        <v>55746</v>
      </c>
      <c r="C47" s="11">
        <v>0</v>
      </c>
      <c r="D47" s="11">
        <v>4.8</v>
      </c>
      <c r="F47" s="31" t="s">
        <v>50</v>
      </c>
      <c r="G47" s="12">
        <v>56080</v>
      </c>
      <c r="H47" s="11">
        <v>3.3</v>
      </c>
      <c r="I47" s="11">
        <v>3.9</v>
      </c>
      <c r="K47" s="31" t="s">
        <v>50</v>
      </c>
      <c r="L47" s="15">
        <v>62700</v>
      </c>
      <c r="M47" s="11">
        <v>0.7</v>
      </c>
      <c r="N47" s="11">
        <v>3</v>
      </c>
      <c r="P47" s="31" t="s">
        <v>50</v>
      </c>
      <c r="Q47" s="12">
        <v>65311</v>
      </c>
      <c r="R47" s="11">
        <v>0</v>
      </c>
      <c r="S47" s="11">
        <v>2.2999999999999998</v>
      </c>
    </row>
    <row r="48" spans="1:20" ht="15.5" x14ac:dyDescent="0.35">
      <c r="A48" s="31" t="s">
        <v>43</v>
      </c>
      <c r="B48" s="10">
        <v>45537</v>
      </c>
      <c r="C48" s="11">
        <v>1.3</v>
      </c>
      <c r="D48" s="11">
        <v>3.1</v>
      </c>
      <c r="F48" s="31" t="s">
        <v>43</v>
      </c>
      <c r="G48" s="12">
        <v>55566</v>
      </c>
      <c r="H48" s="11">
        <v>0</v>
      </c>
      <c r="I48" s="11">
        <v>2</v>
      </c>
      <c r="K48" s="31" t="s">
        <v>43</v>
      </c>
      <c r="L48" s="15">
        <v>44105</v>
      </c>
      <c r="M48" s="11">
        <v>0</v>
      </c>
      <c r="N48" s="11">
        <v>1.5</v>
      </c>
      <c r="P48" s="31" t="s">
        <v>43</v>
      </c>
      <c r="Q48" s="12">
        <v>46258</v>
      </c>
      <c r="R48" s="11">
        <v>0.7</v>
      </c>
      <c r="S48" s="11">
        <v>1.2</v>
      </c>
    </row>
    <row r="49" spans="1:20" x14ac:dyDescent="0.35">
      <c r="A49" s="31" t="s">
        <v>51</v>
      </c>
      <c r="B49" s="10">
        <v>53551</v>
      </c>
      <c r="C49" s="11">
        <v>2</v>
      </c>
      <c r="D49" s="11">
        <v>1.5</v>
      </c>
      <c r="E49" s="4" t="s">
        <v>35</v>
      </c>
      <c r="F49" s="31" t="s">
        <v>51</v>
      </c>
      <c r="G49" s="12">
        <v>56774</v>
      </c>
      <c r="H49" s="11">
        <v>0.7</v>
      </c>
      <c r="I49" s="11">
        <v>0.8</v>
      </c>
      <c r="J49" s="4" t="s">
        <v>35</v>
      </c>
      <c r="K49" s="31" t="s">
        <v>51</v>
      </c>
      <c r="L49" s="12">
        <v>63790</v>
      </c>
      <c r="M49" s="11">
        <v>0</v>
      </c>
      <c r="N49" s="11">
        <v>0.5</v>
      </c>
      <c r="O49" s="4" t="s">
        <v>35</v>
      </c>
      <c r="P49" s="31" t="s">
        <v>51</v>
      </c>
      <c r="Q49" s="12">
        <v>69600</v>
      </c>
      <c r="R49" s="11">
        <v>1.7</v>
      </c>
      <c r="S49" s="11">
        <v>0.6</v>
      </c>
      <c r="T49" s="4" t="s">
        <v>35</v>
      </c>
    </row>
    <row r="50" spans="1:20" ht="15.5" x14ac:dyDescent="0.35">
      <c r="A50" s="32" t="s">
        <v>52</v>
      </c>
      <c r="B50" s="23"/>
      <c r="C50" s="19"/>
      <c r="D50" s="19"/>
      <c r="E50" s="14">
        <f>SUM(C44:C55)/7</f>
        <v>0.51428571428571423</v>
      </c>
      <c r="F50" s="31" t="s">
        <v>52</v>
      </c>
      <c r="G50" s="17"/>
      <c r="H50" s="11"/>
      <c r="I50" s="11"/>
      <c r="J50" s="14">
        <f>SUM(H44:H55)/8</f>
        <v>2.0375000000000001</v>
      </c>
      <c r="K50" s="31" t="s">
        <v>52</v>
      </c>
      <c r="L50" s="15"/>
      <c r="M50" s="11"/>
      <c r="N50" s="11"/>
      <c r="O50" s="14">
        <f>AVERAGE(M44:M55)</f>
        <v>1.7611111111111111</v>
      </c>
      <c r="P50" s="31" t="s">
        <v>52</v>
      </c>
      <c r="Q50" s="12">
        <v>66500</v>
      </c>
      <c r="R50" s="11">
        <v>16</v>
      </c>
      <c r="S50" s="11">
        <v>16</v>
      </c>
      <c r="T50" s="14">
        <f>AVERAGE(R44:R55)</f>
        <v>2.4499999999999997</v>
      </c>
    </row>
    <row r="51" spans="1:20" ht="15.5" x14ac:dyDescent="0.35">
      <c r="A51" s="31" t="s">
        <v>54</v>
      </c>
      <c r="B51" s="23">
        <v>50000</v>
      </c>
      <c r="C51" s="19">
        <v>0</v>
      </c>
      <c r="D51" s="19">
        <v>9.8000000000000007</v>
      </c>
      <c r="E51" s="4" t="s">
        <v>55</v>
      </c>
      <c r="F51" s="31" t="s">
        <v>54</v>
      </c>
      <c r="G51" s="24">
        <v>63119</v>
      </c>
      <c r="H51" s="19">
        <v>1.3</v>
      </c>
      <c r="I51" s="19">
        <v>2.5</v>
      </c>
      <c r="J51" s="4" t="s">
        <v>55</v>
      </c>
      <c r="K51" s="31" t="s">
        <v>54</v>
      </c>
      <c r="L51" s="25">
        <v>64842</v>
      </c>
      <c r="M51" s="19">
        <v>0</v>
      </c>
      <c r="N51" s="19">
        <v>3</v>
      </c>
      <c r="O51" s="4" t="s">
        <v>55</v>
      </c>
      <c r="P51" s="31" t="s">
        <v>54</v>
      </c>
      <c r="Q51" s="26">
        <v>64842</v>
      </c>
      <c r="R51" s="19">
        <v>0.7</v>
      </c>
      <c r="S51" s="19">
        <v>2.8</v>
      </c>
      <c r="T51" s="4" t="s">
        <v>55</v>
      </c>
    </row>
    <row r="52" spans="1:20" ht="15.5" x14ac:dyDescent="0.35">
      <c r="A52" s="31" t="s">
        <v>45</v>
      </c>
      <c r="B52" s="23">
        <v>47722</v>
      </c>
      <c r="C52" s="19">
        <v>0</v>
      </c>
      <c r="D52" s="19">
        <v>1.3</v>
      </c>
      <c r="E52" s="14">
        <f>AVERAGE(D44:D55)</f>
        <v>5.5714285714285712</v>
      </c>
      <c r="F52" s="31" t="s">
        <v>45</v>
      </c>
      <c r="G52" s="24">
        <v>72827</v>
      </c>
      <c r="H52" s="19">
        <v>3.3</v>
      </c>
      <c r="I52" s="19">
        <v>1.5</v>
      </c>
      <c r="J52" s="14">
        <f>AVERAGE(I44:I55)</f>
        <v>5.6875</v>
      </c>
      <c r="K52" s="31" t="s">
        <v>45</v>
      </c>
      <c r="L52" s="25">
        <v>78847</v>
      </c>
      <c r="M52" s="19">
        <v>0</v>
      </c>
      <c r="N52" s="19">
        <v>1</v>
      </c>
      <c r="O52" s="14">
        <f>AVERAGE(N44:N55)</f>
        <v>3.7555555555555551</v>
      </c>
      <c r="P52" s="31" t="s">
        <v>45</v>
      </c>
      <c r="Q52" s="26">
        <v>78847</v>
      </c>
      <c r="R52" s="19">
        <v>0</v>
      </c>
      <c r="S52" s="19">
        <v>0.9</v>
      </c>
      <c r="T52" s="14">
        <f>AVERAGE(S43:S54)</f>
        <v>4.4863636363636363</v>
      </c>
    </row>
    <row r="53" spans="1:20" ht="15.5" x14ac:dyDescent="0.35">
      <c r="A53" s="32" t="s">
        <v>49</v>
      </c>
      <c r="B53" s="23"/>
      <c r="C53" s="19"/>
      <c r="D53" s="19"/>
      <c r="E53" s="4" t="s">
        <v>36</v>
      </c>
      <c r="F53" s="31" t="s">
        <v>49</v>
      </c>
      <c r="G53" s="24">
        <v>52000</v>
      </c>
      <c r="H53" s="19">
        <v>0</v>
      </c>
      <c r="I53" s="19">
        <v>2.7</v>
      </c>
      <c r="J53" s="4" t="s">
        <v>36</v>
      </c>
      <c r="K53" s="31" t="s">
        <v>49</v>
      </c>
      <c r="L53" s="25">
        <v>48256</v>
      </c>
      <c r="M53" s="19">
        <v>0</v>
      </c>
      <c r="N53" s="19">
        <v>1.9</v>
      </c>
      <c r="O53" s="4" t="s">
        <v>36</v>
      </c>
      <c r="P53" s="31" t="s">
        <v>49</v>
      </c>
      <c r="Q53" s="26">
        <v>53961</v>
      </c>
      <c r="R53" s="19">
        <v>3</v>
      </c>
      <c r="S53" s="19">
        <v>1.5</v>
      </c>
      <c r="T53" s="4" t="s">
        <v>36</v>
      </c>
    </row>
    <row r="54" spans="1:20" ht="15.5" x14ac:dyDescent="0.35">
      <c r="A54" s="32" t="s">
        <v>47</v>
      </c>
      <c r="B54" s="23"/>
      <c r="C54" s="19"/>
      <c r="D54" s="19"/>
      <c r="E54" s="16">
        <f>AVERAGE(B44:B55)</f>
        <v>53781</v>
      </c>
      <c r="F54" s="31" t="s">
        <v>47</v>
      </c>
      <c r="G54" s="24"/>
      <c r="H54" s="19"/>
      <c r="I54" s="19"/>
      <c r="J54" s="16">
        <f>AVERAGE(G44:G55)</f>
        <v>59976.125</v>
      </c>
      <c r="K54" s="31" t="s">
        <v>47</v>
      </c>
      <c r="L54" s="25"/>
      <c r="M54" s="19"/>
      <c r="N54" s="19"/>
      <c r="O54" s="16">
        <f>AVERAGE(L44:L55)</f>
        <v>62014.944444444445</v>
      </c>
      <c r="P54" s="31" t="s">
        <v>47</v>
      </c>
      <c r="Q54" s="26">
        <v>42520</v>
      </c>
      <c r="R54" s="19">
        <v>0</v>
      </c>
      <c r="S54" s="19">
        <v>1.6</v>
      </c>
      <c r="T54" s="16">
        <f>AVERAGE(Q43:Q54)</f>
        <v>62733.681818181816</v>
      </c>
    </row>
    <row r="55" spans="1:20" ht="15.5" x14ac:dyDescent="0.35">
      <c r="A55" s="31" t="s">
        <v>53</v>
      </c>
      <c r="B55" s="23">
        <v>70665</v>
      </c>
      <c r="C55" s="19">
        <v>0.3</v>
      </c>
      <c r="D55" s="19">
        <v>1</v>
      </c>
      <c r="E55" s="16"/>
      <c r="F55" s="31" t="s">
        <v>53</v>
      </c>
      <c r="G55" s="24">
        <v>67218</v>
      </c>
      <c r="H55" s="19">
        <v>0</v>
      </c>
      <c r="I55" s="19">
        <v>0.9</v>
      </c>
      <c r="J55" s="16"/>
      <c r="K55" s="31" t="s">
        <v>53</v>
      </c>
      <c r="L55" s="25">
        <v>67218</v>
      </c>
      <c r="M55" s="19">
        <v>0</v>
      </c>
      <c r="N55" s="19">
        <v>0.8</v>
      </c>
      <c r="O55" s="16"/>
      <c r="P55" s="31" t="s">
        <v>53</v>
      </c>
      <c r="Q55" s="26">
        <v>67218</v>
      </c>
      <c r="R55" s="19">
        <v>0</v>
      </c>
      <c r="S55" s="19">
        <v>0.7</v>
      </c>
      <c r="T55" s="16"/>
    </row>
    <row r="56" spans="1:20" ht="15.5" x14ac:dyDescent="0.35">
      <c r="A56" s="22"/>
      <c r="B56" s="23"/>
      <c r="C56" s="19"/>
      <c r="D56" s="19"/>
      <c r="E56" s="16"/>
      <c r="F56" s="22"/>
      <c r="G56" s="24"/>
      <c r="H56" s="19"/>
      <c r="I56" s="19"/>
      <c r="J56" s="16"/>
      <c r="K56" s="22"/>
      <c r="L56" s="25"/>
      <c r="M56" s="19"/>
      <c r="N56" s="19"/>
      <c r="O56" s="16"/>
      <c r="P56" s="22"/>
      <c r="Q56" s="26"/>
      <c r="R56" s="19"/>
      <c r="S56" s="19"/>
      <c r="T56" s="16"/>
    </row>
    <row r="57" spans="1:20" ht="15.5" x14ac:dyDescent="0.35">
      <c r="A57" s="22"/>
      <c r="B57" s="23"/>
      <c r="C57" s="19"/>
      <c r="D57" s="19"/>
      <c r="E57" s="16"/>
      <c r="F57" s="22"/>
      <c r="G57" s="24"/>
      <c r="H57" s="19"/>
      <c r="I57" s="19"/>
      <c r="J57" s="16"/>
      <c r="K57" s="22"/>
      <c r="L57" s="25"/>
      <c r="M57" s="19"/>
      <c r="N57" s="19"/>
      <c r="O57" s="16"/>
      <c r="P57" s="22"/>
      <c r="Q57" s="26"/>
      <c r="R57" s="19"/>
      <c r="S57" s="19"/>
      <c r="T57" s="16"/>
    </row>
    <row r="58" spans="1:20" x14ac:dyDescent="0.35">
      <c r="B58" s="18"/>
      <c r="C58" s="18"/>
      <c r="D58" s="18"/>
      <c r="E58" s="16"/>
      <c r="G58" s="5"/>
      <c r="H58" s="5"/>
      <c r="I58" s="5"/>
      <c r="J58" s="16"/>
      <c r="L58" s="5"/>
      <c r="M58" s="5"/>
      <c r="N58" s="5"/>
      <c r="O58" s="16"/>
    </row>
    <row r="59" spans="1:20" x14ac:dyDescent="0.35">
      <c r="A59" s="4" t="s">
        <v>10</v>
      </c>
      <c r="B59" s="18"/>
      <c r="C59" s="18"/>
      <c r="D59" s="18"/>
      <c r="E59" s="16"/>
      <c r="F59" s="4" t="s">
        <v>13</v>
      </c>
      <c r="G59" s="5"/>
      <c r="H59" s="5"/>
      <c r="I59" s="5"/>
      <c r="J59" s="16"/>
      <c r="K59" s="4" t="s">
        <v>17</v>
      </c>
      <c r="L59" s="5"/>
      <c r="M59" s="5"/>
      <c r="N59" s="5"/>
      <c r="O59" s="16"/>
    </row>
    <row r="60" spans="1:20" x14ac:dyDescent="0.35">
      <c r="A60" s="6" t="s">
        <v>1</v>
      </c>
      <c r="B60" s="20" t="s">
        <v>2</v>
      </c>
      <c r="C60" s="7" t="s">
        <v>21</v>
      </c>
      <c r="D60" s="7" t="s">
        <v>34</v>
      </c>
      <c r="E60" s="16"/>
      <c r="F60" s="6" t="s">
        <v>1</v>
      </c>
      <c r="G60" s="7" t="s">
        <v>2</v>
      </c>
      <c r="H60" s="7" t="s">
        <v>21</v>
      </c>
      <c r="I60" s="7" t="s">
        <v>34</v>
      </c>
      <c r="J60" s="16"/>
      <c r="K60" s="6" t="s">
        <v>1</v>
      </c>
      <c r="L60" s="7" t="s">
        <v>2</v>
      </c>
      <c r="M60" s="7" t="s">
        <v>21</v>
      </c>
      <c r="N60" s="7" t="s">
        <v>34</v>
      </c>
      <c r="O60" s="16"/>
    </row>
    <row r="61" spans="1:20" x14ac:dyDescent="0.35">
      <c r="A61" s="31" t="s">
        <v>46</v>
      </c>
      <c r="B61" s="5">
        <v>52172</v>
      </c>
      <c r="C61" s="34">
        <v>0</v>
      </c>
      <c r="D61" s="34">
        <v>0</v>
      </c>
      <c r="F61" s="31" t="s">
        <v>46</v>
      </c>
      <c r="G61" s="37">
        <v>57358</v>
      </c>
      <c r="H61" s="4">
        <v>21.9</v>
      </c>
      <c r="I61" s="4">
        <v>21.9</v>
      </c>
      <c r="K61" s="31" t="s">
        <v>46</v>
      </c>
      <c r="L61" s="39">
        <f>(62222+61777)/2</f>
        <v>61999.5</v>
      </c>
      <c r="M61" s="4">
        <f>(3.7+0)/2</f>
        <v>1.85</v>
      </c>
      <c r="N61" s="4">
        <f>(12.2+1.8)/2</f>
        <v>7</v>
      </c>
      <c r="S61" s="4" t="s">
        <v>58</v>
      </c>
    </row>
    <row r="62" spans="1:20" x14ac:dyDescent="0.35">
      <c r="A62" s="32" t="s">
        <v>44</v>
      </c>
      <c r="B62" s="10"/>
      <c r="C62" s="38"/>
      <c r="D62" s="38"/>
      <c r="E62" s="16"/>
      <c r="F62" s="31" t="s">
        <v>44</v>
      </c>
      <c r="G62" s="21"/>
      <c r="H62" s="11"/>
      <c r="I62" s="11"/>
      <c r="J62" s="16"/>
      <c r="K62" s="31" t="s">
        <v>44</v>
      </c>
      <c r="L62" s="21">
        <f>65222</f>
        <v>65222</v>
      </c>
      <c r="M62" s="11">
        <v>3.3</v>
      </c>
      <c r="N62" s="11">
        <v>10.9</v>
      </c>
      <c r="O62" s="16"/>
      <c r="R62" s="31" t="s">
        <v>46</v>
      </c>
      <c r="S62" s="4">
        <f>(79+66+230+145+105+90+88+88)/8</f>
        <v>111.375</v>
      </c>
    </row>
    <row r="63" spans="1:20" x14ac:dyDescent="0.35">
      <c r="A63" s="32" t="s">
        <v>48</v>
      </c>
      <c r="B63" s="21"/>
      <c r="C63" s="11"/>
      <c r="D63" s="11"/>
      <c r="E63" s="16"/>
      <c r="F63" s="31" t="s">
        <v>48</v>
      </c>
      <c r="G63" s="21"/>
      <c r="H63" s="11"/>
      <c r="I63" s="11"/>
      <c r="J63" s="16"/>
      <c r="K63" s="31" t="s">
        <v>48</v>
      </c>
      <c r="L63" s="21">
        <v>44901</v>
      </c>
      <c r="M63" s="11">
        <v>23.5</v>
      </c>
      <c r="N63" s="11">
        <v>23.5</v>
      </c>
      <c r="O63" s="16"/>
      <c r="R63" s="31" t="s">
        <v>44</v>
      </c>
      <c r="S63" s="4">
        <f>(123.1+137.1+98.4+98.6+125.4+148+128.5+99.4+142.5+148+140)/11</f>
        <v>126.27272727272727</v>
      </c>
    </row>
    <row r="64" spans="1:20" x14ac:dyDescent="0.35">
      <c r="A64" s="31" t="s">
        <v>50</v>
      </c>
      <c r="B64" s="10">
        <v>63937</v>
      </c>
      <c r="C64" s="11">
        <v>2.5</v>
      </c>
      <c r="D64" s="11">
        <v>4.4000000000000004</v>
      </c>
      <c r="E64" s="16"/>
      <c r="F64" s="31" t="s">
        <v>50</v>
      </c>
      <c r="G64" s="12">
        <v>59119</v>
      </c>
      <c r="H64" s="11">
        <v>0</v>
      </c>
      <c r="I64" s="11">
        <v>3.5</v>
      </c>
      <c r="J64" s="16"/>
      <c r="K64" s="31" t="s">
        <v>50</v>
      </c>
      <c r="L64" s="21">
        <v>63885</v>
      </c>
      <c r="M64" s="11">
        <v>0.3</v>
      </c>
      <c r="N64" s="11">
        <v>2.8</v>
      </c>
      <c r="O64" s="16"/>
      <c r="R64" s="31" t="s">
        <v>48</v>
      </c>
      <c r="S64" s="4">
        <f>(100+144+71+103)/4</f>
        <v>104.5</v>
      </c>
    </row>
    <row r="65" spans="1:19" x14ac:dyDescent="0.35">
      <c r="A65" s="31" t="s">
        <v>43</v>
      </c>
      <c r="B65" s="10">
        <v>44231</v>
      </c>
      <c r="C65" s="11">
        <v>-0.5</v>
      </c>
      <c r="D65" s="11">
        <v>2.4</v>
      </c>
      <c r="E65" s="16"/>
      <c r="F65" s="31" t="s">
        <v>43</v>
      </c>
      <c r="G65" s="21">
        <v>55566</v>
      </c>
      <c r="H65" s="11">
        <v>0</v>
      </c>
      <c r="I65" s="11">
        <v>1.8</v>
      </c>
      <c r="J65" s="16"/>
      <c r="K65" s="31" t="s">
        <v>43</v>
      </c>
      <c r="L65" s="21">
        <v>52227</v>
      </c>
      <c r="M65" s="11">
        <v>0.3</v>
      </c>
      <c r="N65" s="11">
        <v>1.4</v>
      </c>
      <c r="O65" s="16"/>
      <c r="R65" s="31" t="s">
        <v>50</v>
      </c>
      <c r="S65" s="4">
        <f>(85+80+105+168.8+50.5)/5</f>
        <v>97.86</v>
      </c>
    </row>
    <row r="66" spans="1:19" x14ac:dyDescent="0.35">
      <c r="A66" s="31" t="s">
        <v>51</v>
      </c>
      <c r="B66" s="10">
        <v>53704</v>
      </c>
      <c r="C66" s="11">
        <v>0.5</v>
      </c>
      <c r="D66" s="11">
        <v>1.1000000000000001</v>
      </c>
      <c r="E66" s="4" t="s">
        <v>35</v>
      </c>
      <c r="F66" s="31" t="s">
        <v>51</v>
      </c>
      <c r="G66" s="21">
        <v>56871</v>
      </c>
      <c r="H66" s="11">
        <v>0</v>
      </c>
      <c r="I66" s="11">
        <v>0.7</v>
      </c>
      <c r="J66" s="4" t="s">
        <v>35</v>
      </c>
      <c r="K66" s="31" t="s">
        <v>51</v>
      </c>
      <c r="L66" s="21">
        <v>64230</v>
      </c>
      <c r="M66" s="11">
        <v>1</v>
      </c>
      <c r="N66" s="11">
        <v>0.5</v>
      </c>
      <c r="O66" s="4" t="s">
        <v>35</v>
      </c>
      <c r="R66" s="31" t="s">
        <v>43</v>
      </c>
      <c r="S66" s="4">
        <v>140.30000000000001</v>
      </c>
    </row>
    <row r="67" spans="1:19" x14ac:dyDescent="0.35">
      <c r="A67" s="32" t="s">
        <v>52</v>
      </c>
      <c r="B67" s="10"/>
      <c r="C67" s="11"/>
      <c r="D67" s="11"/>
      <c r="E67" s="14">
        <f>SUM(C61:C72)/7</f>
        <v>-4.285714285714283E-2</v>
      </c>
      <c r="F67" s="31" t="s">
        <v>52</v>
      </c>
      <c r="G67" s="21"/>
      <c r="H67" s="11"/>
      <c r="I67" s="11"/>
      <c r="J67" s="14">
        <f>SUM(H61:H72)/8</f>
        <v>3.4</v>
      </c>
      <c r="K67" s="31" t="s">
        <v>52</v>
      </c>
      <c r="L67" s="21"/>
      <c r="M67" s="11"/>
      <c r="N67" s="11"/>
      <c r="O67" s="14">
        <f>AVERAGE(M61:M72)</f>
        <v>3.3590909090909093</v>
      </c>
      <c r="R67" s="31" t="s">
        <v>51</v>
      </c>
      <c r="S67" s="4">
        <f>(70+154+182+134.5)/4</f>
        <v>135.125</v>
      </c>
    </row>
    <row r="68" spans="1:19" x14ac:dyDescent="0.35">
      <c r="A68" s="31" t="s">
        <v>54</v>
      </c>
      <c r="B68" s="23">
        <v>59248</v>
      </c>
      <c r="C68" s="19">
        <v>-5.3</v>
      </c>
      <c r="D68" s="19">
        <v>8.1999999999999993</v>
      </c>
      <c r="E68" s="4" t="s">
        <v>55</v>
      </c>
      <c r="F68" s="31" t="s">
        <v>54</v>
      </c>
      <c r="G68" s="27">
        <v>63119</v>
      </c>
      <c r="H68" s="19">
        <v>4.3</v>
      </c>
      <c r="I68" s="19">
        <v>2.9</v>
      </c>
      <c r="J68" s="4" t="s">
        <v>55</v>
      </c>
      <c r="K68" s="31" t="s">
        <v>54</v>
      </c>
      <c r="L68" s="27">
        <v>64842</v>
      </c>
      <c r="M68" s="19">
        <v>0</v>
      </c>
      <c r="N68" s="19">
        <v>2.6</v>
      </c>
      <c r="O68" s="4" t="s">
        <v>35</v>
      </c>
      <c r="R68" s="31" t="s">
        <v>52</v>
      </c>
      <c r="S68" s="4">
        <f>(90+130+60)/4</f>
        <v>70</v>
      </c>
    </row>
    <row r="69" spans="1:19" x14ac:dyDescent="0.35">
      <c r="A69" s="31" t="s">
        <v>45</v>
      </c>
      <c r="B69" s="23">
        <v>47009</v>
      </c>
      <c r="C69" s="19">
        <v>1.5</v>
      </c>
      <c r="D69" s="19">
        <v>1.3</v>
      </c>
      <c r="E69" s="14">
        <f>AVERAGE(D61:D72)</f>
        <v>2.628571428571429</v>
      </c>
      <c r="F69" s="31" t="s">
        <v>45</v>
      </c>
      <c r="G69" s="27">
        <v>72827</v>
      </c>
      <c r="H69" s="19">
        <v>0.3</v>
      </c>
      <c r="I69" s="19">
        <v>1.4</v>
      </c>
      <c r="J69" s="14">
        <f>AVERAGE(I61:I72)</f>
        <v>4.4249999999999989</v>
      </c>
      <c r="K69" s="31" t="s">
        <v>45</v>
      </c>
      <c r="L69" s="27">
        <v>78847</v>
      </c>
      <c r="M69" s="19">
        <v>1</v>
      </c>
      <c r="N69" s="19">
        <v>1</v>
      </c>
      <c r="O69" s="14">
        <f>AVERAGE(N60:N72)</f>
        <v>5.2090909090909081</v>
      </c>
      <c r="R69" s="31" t="s">
        <v>54</v>
      </c>
      <c r="S69" s="4">
        <f>(50+155+108)/3</f>
        <v>104.33333333333333</v>
      </c>
    </row>
    <row r="70" spans="1:19" x14ac:dyDescent="0.35">
      <c r="A70" s="32" t="s">
        <v>49</v>
      </c>
      <c r="B70" s="23"/>
      <c r="C70" s="19"/>
      <c r="D70" s="19"/>
      <c r="E70" s="4" t="s">
        <v>36</v>
      </c>
      <c r="F70" s="31" t="s">
        <v>49</v>
      </c>
      <c r="G70" s="27">
        <v>52000</v>
      </c>
      <c r="H70" s="19">
        <v>0.7</v>
      </c>
      <c r="I70" s="19">
        <v>2.2999999999999998</v>
      </c>
      <c r="J70" s="4" t="s">
        <v>36</v>
      </c>
      <c r="K70" s="31" t="s">
        <v>49</v>
      </c>
      <c r="L70" s="27">
        <v>53866</v>
      </c>
      <c r="M70" s="19">
        <v>0.7</v>
      </c>
      <c r="N70" s="19">
        <v>1.8</v>
      </c>
      <c r="O70" s="4" t="s">
        <v>36</v>
      </c>
      <c r="R70" s="31" t="s">
        <v>45</v>
      </c>
      <c r="S70" s="4">
        <f>(79.5+78.2)/2</f>
        <v>78.849999999999994</v>
      </c>
    </row>
    <row r="71" spans="1:19" x14ac:dyDescent="0.35">
      <c r="A71" s="32" t="s">
        <v>47</v>
      </c>
      <c r="B71" s="23"/>
      <c r="C71" s="19"/>
      <c r="D71" s="19"/>
      <c r="E71" s="16">
        <f>AVERAGE(B61:B72)</f>
        <v>55359.857142857145</v>
      </c>
      <c r="F71" s="31" t="s">
        <v>47</v>
      </c>
      <c r="G71" s="27"/>
      <c r="H71" s="19"/>
      <c r="I71" s="19"/>
      <c r="J71" s="16">
        <f>AVERAGE(G61:G72)</f>
        <v>60509.75</v>
      </c>
      <c r="K71" s="31" t="s">
        <v>47</v>
      </c>
      <c r="L71" s="27">
        <v>63448</v>
      </c>
      <c r="M71" s="19">
        <v>5</v>
      </c>
      <c r="N71" s="19">
        <v>5</v>
      </c>
      <c r="O71" s="16">
        <f>AVERAGE(L60:L72)</f>
        <v>61880.5</v>
      </c>
      <c r="R71" s="31" t="s">
        <v>49</v>
      </c>
      <c r="S71" s="4">
        <f>(113+43+30.5)/3</f>
        <v>62.166666666666664</v>
      </c>
    </row>
    <row r="72" spans="1:19" x14ac:dyDescent="0.35">
      <c r="A72" s="31" t="s">
        <v>53</v>
      </c>
      <c r="B72" s="23">
        <v>67218</v>
      </c>
      <c r="C72" s="19">
        <v>1</v>
      </c>
      <c r="D72" s="19">
        <v>1</v>
      </c>
      <c r="E72" s="16"/>
      <c r="F72" s="31" t="s">
        <v>53</v>
      </c>
      <c r="G72" s="27">
        <v>67218</v>
      </c>
      <c r="H72" s="19">
        <v>0</v>
      </c>
      <c r="I72" s="19">
        <v>0.9</v>
      </c>
      <c r="J72" s="16"/>
      <c r="K72" s="31" t="s">
        <v>53</v>
      </c>
      <c r="L72" s="27">
        <v>67218</v>
      </c>
      <c r="M72" s="19">
        <v>0</v>
      </c>
      <c r="N72" s="19">
        <v>0.8</v>
      </c>
      <c r="O72" s="16"/>
      <c r="R72" s="31" t="s">
        <v>47</v>
      </c>
      <c r="S72" s="4">
        <f>(127.3+104.3+107.9+103.2+165.4+72.5+84.4)/7</f>
        <v>109.28571428571429</v>
      </c>
    </row>
    <row r="73" spans="1:19" x14ac:dyDescent="0.35">
      <c r="A73" s="22"/>
      <c r="B73" s="23"/>
      <c r="C73" s="19"/>
      <c r="D73" s="19"/>
      <c r="E73" s="16"/>
      <c r="F73" s="22"/>
      <c r="G73" s="27"/>
      <c r="H73" s="19"/>
      <c r="I73" s="19"/>
      <c r="J73" s="16"/>
      <c r="K73" s="22"/>
      <c r="L73" s="27"/>
      <c r="M73" s="19"/>
      <c r="N73" s="19"/>
      <c r="O73" s="16"/>
      <c r="R73" s="31" t="s">
        <v>53</v>
      </c>
      <c r="S73" s="4">
        <f>(160.5+58+159)/3</f>
        <v>125.83333333333333</v>
      </c>
    </row>
    <row r="74" spans="1:19" x14ac:dyDescent="0.35">
      <c r="B74" s="18"/>
      <c r="C74" s="18"/>
      <c r="D74" s="18"/>
      <c r="E74" s="16"/>
      <c r="G74" s="5"/>
      <c r="H74" s="5"/>
      <c r="I74" s="5"/>
      <c r="J74" s="16"/>
      <c r="L74" s="5"/>
      <c r="M74" s="5"/>
      <c r="N74" s="5"/>
      <c r="O74" s="16"/>
      <c r="R74" s="19"/>
      <c r="S74" s="4">
        <f>AVERAGE(S62:S73)</f>
        <v>105.49181457431457</v>
      </c>
    </row>
    <row r="75" spans="1:19" x14ac:dyDescent="0.35">
      <c r="A75" s="4" t="s">
        <v>11</v>
      </c>
      <c r="B75" s="18"/>
      <c r="C75" s="18"/>
      <c r="D75" s="18"/>
      <c r="E75" s="16"/>
      <c r="F75" s="4" t="s">
        <v>14</v>
      </c>
      <c r="G75" s="5"/>
      <c r="H75" s="5"/>
      <c r="I75" s="5"/>
      <c r="J75" s="16"/>
      <c r="K75" s="4" t="s">
        <v>18</v>
      </c>
      <c r="L75" s="5"/>
      <c r="M75" s="5"/>
      <c r="N75" s="5"/>
      <c r="O75" s="16"/>
      <c r="R75" s="19"/>
    </row>
    <row r="76" spans="1:19" x14ac:dyDescent="0.35">
      <c r="A76" s="6" t="s">
        <v>1</v>
      </c>
      <c r="B76" s="20" t="s">
        <v>2</v>
      </c>
      <c r="C76" s="7" t="s">
        <v>21</v>
      </c>
      <c r="D76" s="7" t="s">
        <v>34</v>
      </c>
      <c r="E76" s="16"/>
      <c r="F76" s="6" t="s">
        <v>1</v>
      </c>
      <c r="G76" s="7" t="s">
        <v>2</v>
      </c>
      <c r="H76" s="7" t="s">
        <v>21</v>
      </c>
      <c r="I76" s="7" t="s">
        <v>34</v>
      </c>
      <c r="J76" s="16"/>
      <c r="K76" s="6" t="s">
        <v>1</v>
      </c>
      <c r="L76" s="7" t="s">
        <v>2</v>
      </c>
      <c r="M76" s="7" t="s">
        <v>21</v>
      </c>
      <c r="N76" s="7" t="s">
        <v>34</v>
      </c>
      <c r="O76" s="16"/>
    </row>
    <row r="77" spans="1:19" x14ac:dyDescent="0.35">
      <c r="A77" s="31" t="s">
        <v>46</v>
      </c>
      <c r="B77" s="5">
        <v>48742</v>
      </c>
      <c r="C77" s="5">
        <v>35.6</v>
      </c>
      <c r="D77" s="5">
        <v>35.6</v>
      </c>
      <c r="F77" s="31" t="s">
        <v>46</v>
      </c>
      <c r="G77" s="4">
        <v>58743</v>
      </c>
      <c r="H77" s="4">
        <v>1</v>
      </c>
      <c r="I77" s="4">
        <v>10.4</v>
      </c>
      <c r="K77" s="31" t="s">
        <v>46</v>
      </c>
      <c r="L77" s="4">
        <f>(62222+61777)/2</f>
        <v>61999.5</v>
      </c>
      <c r="M77" s="4">
        <f>(3+0)/2</f>
        <v>1.5</v>
      </c>
      <c r="N77" s="4">
        <f>(11.2+16)/2</f>
        <v>13.6</v>
      </c>
    </row>
    <row r="78" spans="1:19" x14ac:dyDescent="0.35">
      <c r="A78" s="32" t="s">
        <v>44</v>
      </c>
      <c r="B78" s="10"/>
      <c r="C78" s="11"/>
      <c r="D78" s="11"/>
      <c r="E78" s="16"/>
      <c r="F78" s="31" t="s">
        <v>44</v>
      </c>
      <c r="G78" s="21"/>
      <c r="H78" s="11"/>
      <c r="I78" s="11"/>
      <c r="J78" s="16"/>
      <c r="K78" s="31" t="s">
        <v>44</v>
      </c>
      <c r="L78" s="21">
        <v>65017</v>
      </c>
      <c r="M78" s="11">
        <v>23.3</v>
      </c>
      <c r="N78" s="11">
        <v>14</v>
      </c>
      <c r="O78" s="16"/>
    </row>
    <row r="79" spans="1:19" x14ac:dyDescent="0.35">
      <c r="A79" s="32" t="s">
        <v>48</v>
      </c>
      <c r="B79" s="10"/>
      <c r="C79" s="11"/>
      <c r="D79" s="11"/>
      <c r="E79" s="16"/>
      <c r="F79" s="31" t="s">
        <v>48</v>
      </c>
      <c r="H79" s="11"/>
      <c r="I79" s="11"/>
      <c r="J79" s="16"/>
      <c r="K79" s="31" t="s">
        <v>48</v>
      </c>
      <c r="L79" s="21">
        <v>75215</v>
      </c>
      <c r="M79" s="11">
        <v>9</v>
      </c>
      <c r="N79" s="11">
        <v>14.98</v>
      </c>
      <c r="O79" s="16"/>
    </row>
    <row r="80" spans="1:19" x14ac:dyDescent="0.35">
      <c r="A80" s="31" t="s">
        <v>50</v>
      </c>
      <c r="B80" s="10">
        <v>54473</v>
      </c>
      <c r="C80" s="11">
        <v>4</v>
      </c>
      <c r="D80" s="11">
        <v>4</v>
      </c>
      <c r="E80" s="16"/>
      <c r="F80" s="31" t="s">
        <v>50</v>
      </c>
      <c r="G80" s="21">
        <v>61008</v>
      </c>
      <c r="H80" s="11">
        <v>1.3</v>
      </c>
      <c r="I80" s="11">
        <v>3.3</v>
      </c>
      <c r="J80" s="16"/>
      <c r="K80" s="31" t="s">
        <v>50</v>
      </c>
      <c r="L80" s="4">
        <v>64473</v>
      </c>
      <c r="M80" s="11">
        <v>0</v>
      </c>
      <c r="N80" s="11">
        <v>2.6</v>
      </c>
      <c r="O80" s="16"/>
    </row>
    <row r="81" spans="1:15" x14ac:dyDescent="0.35">
      <c r="A81" s="31" t="s">
        <v>43</v>
      </c>
      <c r="B81" s="10">
        <v>49518</v>
      </c>
      <c r="C81" s="35">
        <v>3.5</v>
      </c>
      <c r="D81" s="35">
        <v>2.7</v>
      </c>
      <c r="E81" s="16"/>
      <c r="F81" s="31" t="s">
        <v>43</v>
      </c>
      <c r="G81" s="21">
        <v>43393</v>
      </c>
      <c r="H81" s="11">
        <v>1.3</v>
      </c>
      <c r="I81" s="11">
        <v>1.8</v>
      </c>
      <c r="J81" s="16"/>
      <c r="K81" s="31" t="s">
        <v>43</v>
      </c>
      <c r="L81" s="21">
        <v>58495</v>
      </c>
      <c r="M81" s="11">
        <v>0</v>
      </c>
      <c r="N81" s="11">
        <v>1.3</v>
      </c>
      <c r="O81" s="16"/>
    </row>
    <row r="82" spans="1:15" x14ac:dyDescent="0.35">
      <c r="A82" s="31" t="s">
        <v>51</v>
      </c>
      <c r="B82" s="10">
        <v>56774</v>
      </c>
      <c r="C82" s="35">
        <v>0.3</v>
      </c>
      <c r="D82" s="35">
        <v>0.9</v>
      </c>
      <c r="E82" s="4" t="s">
        <v>35</v>
      </c>
      <c r="F82" s="31" t="s">
        <v>51</v>
      </c>
      <c r="G82" s="21">
        <v>56871</v>
      </c>
      <c r="H82" s="11">
        <v>0</v>
      </c>
      <c r="I82" s="11">
        <v>0.6</v>
      </c>
      <c r="J82" s="4" t="s">
        <v>35</v>
      </c>
      <c r="K82" s="31" t="s">
        <v>51</v>
      </c>
      <c r="L82" s="21">
        <v>65633</v>
      </c>
      <c r="M82" s="11">
        <v>0.3</v>
      </c>
      <c r="N82" s="11">
        <v>0.5</v>
      </c>
      <c r="O82" s="4" t="s">
        <v>35</v>
      </c>
    </row>
    <row r="83" spans="1:15" x14ac:dyDescent="0.35">
      <c r="A83" s="32" t="s">
        <v>52</v>
      </c>
      <c r="B83" s="10"/>
      <c r="C83" s="35"/>
      <c r="D83" s="35"/>
      <c r="E83" s="14">
        <f>SUM(C77:C88)/8</f>
        <v>7.1249999999999991</v>
      </c>
      <c r="F83" s="31" t="s">
        <v>52</v>
      </c>
      <c r="G83" s="21"/>
      <c r="H83" s="11"/>
      <c r="I83" s="11"/>
      <c r="J83" s="14">
        <f>SUM(H77:H88)/8</f>
        <v>1.9999999999999998</v>
      </c>
      <c r="K83" s="31" t="s">
        <v>52</v>
      </c>
      <c r="L83" s="21"/>
      <c r="M83" s="11"/>
      <c r="N83" s="11"/>
      <c r="O83" s="14">
        <f>AVERAGE(M77:M88)</f>
        <v>4.672727272727272</v>
      </c>
    </row>
    <row r="84" spans="1:15" x14ac:dyDescent="0.35">
      <c r="A84" s="31" t="s">
        <v>54</v>
      </c>
      <c r="B84" s="5">
        <v>59300</v>
      </c>
      <c r="C84" s="33">
        <v>0.3</v>
      </c>
      <c r="D84" s="33">
        <v>3.9</v>
      </c>
      <c r="E84" s="4" t="s">
        <v>55</v>
      </c>
      <c r="F84" s="31" t="s">
        <v>54</v>
      </c>
      <c r="G84" s="37">
        <v>64842</v>
      </c>
      <c r="H84" s="4">
        <v>11.7</v>
      </c>
      <c r="I84" s="4">
        <v>4.0999999999999996</v>
      </c>
      <c r="J84" s="4" t="s">
        <v>55</v>
      </c>
      <c r="K84" s="31" t="s">
        <v>54</v>
      </c>
      <c r="L84" s="4">
        <v>64842</v>
      </c>
      <c r="M84" s="4">
        <v>15</v>
      </c>
      <c r="N84" s="4">
        <v>3.7</v>
      </c>
      <c r="O84" s="4" t="s">
        <v>35</v>
      </c>
    </row>
    <row r="85" spans="1:15" x14ac:dyDescent="0.35">
      <c r="A85" s="31" t="s">
        <v>45</v>
      </c>
      <c r="B85" s="5">
        <v>59432</v>
      </c>
      <c r="C85" s="33">
        <v>8</v>
      </c>
      <c r="D85" s="33">
        <v>1.3</v>
      </c>
      <c r="E85" s="14">
        <f>AVERAGE(D77:D88)</f>
        <v>6.8374999999999995</v>
      </c>
      <c r="F85" s="31" t="s">
        <v>45</v>
      </c>
      <c r="G85" s="37">
        <v>76713</v>
      </c>
      <c r="H85" s="4">
        <v>0</v>
      </c>
      <c r="I85" s="4">
        <v>1.2</v>
      </c>
      <c r="J85" s="14">
        <f>AVERAGE(I77:I88)</f>
        <v>3.0125000000000002</v>
      </c>
      <c r="K85" s="31" t="s">
        <v>45</v>
      </c>
      <c r="L85" s="4">
        <v>78847</v>
      </c>
      <c r="M85" s="4">
        <v>0</v>
      </c>
      <c r="N85" s="4">
        <v>1</v>
      </c>
      <c r="O85" s="14">
        <f>AVERAGE(N76:N88)</f>
        <v>5.18</v>
      </c>
    </row>
    <row r="86" spans="1:15" x14ac:dyDescent="0.35">
      <c r="A86" s="31" t="s">
        <v>49</v>
      </c>
      <c r="B86" s="5">
        <v>52155</v>
      </c>
      <c r="C86" s="33">
        <v>5.3</v>
      </c>
      <c r="D86" s="33">
        <v>5.3</v>
      </c>
      <c r="E86" s="4" t="s">
        <v>36</v>
      </c>
      <c r="F86" s="31" t="s">
        <v>49</v>
      </c>
      <c r="G86" s="37">
        <v>52000</v>
      </c>
      <c r="H86" s="4">
        <v>0.7</v>
      </c>
      <c r="I86" s="4">
        <v>1.8</v>
      </c>
      <c r="J86" s="4" t="s">
        <v>36</v>
      </c>
      <c r="K86" s="31" t="s">
        <v>49</v>
      </c>
      <c r="L86" s="4">
        <v>53866</v>
      </c>
      <c r="M86" s="4">
        <v>0</v>
      </c>
      <c r="N86" s="4">
        <v>1.5</v>
      </c>
      <c r="O86" s="4" t="s">
        <v>36</v>
      </c>
    </row>
    <row r="87" spans="1:15" x14ac:dyDescent="0.35">
      <c r="A87" s="32" t="s">
        <v>47</v>
      </c>
      <c r="C87" s="33"/>
      <c r="D87" s="33"/>
      <c r="E87" s="16">
        <f>AVERAGE(B77:B88)</f>
        <v>55951.5</v>
      </c>
      <c r="F87" s="31" t="s">
        <v>47</v>
      </c>
      <c r="G87" s="37"/>
      <c r="J87" s="16">
        <f>AVERAGE(G77:G88)</f>
        <v>60098.5</v>
      </c>
      <c r="K87" s="31" t="s">
        <v>47</v>
      </c>
      <c r="L87" s="4">
        <v>63448</v>
      </c>
      <c r="M87" s="4">
        <v>2.2999999999999998</v>
      </c>
      <c r="N87" s="4">
        <v>3</v>
      </c>
      <c r="O87" s="16">
        <f>AVERAGE(L76:L88)</f>
        <v>65368.5</v>
      </c>
    </row>
    <row r="88" spans="1:15" x14ac:dyDescent="0.35">
      <c r="A88" s="31" t="s">
        <v>53</v>
      </c>
      <c r="B88" s="5">
        <v>67218</v>
      </c>
      <c r="C88" s="33">
        <v>0</v>
      </c>
      <c r="D88" s="33">
        <v>1</v>
      </c>
      <c r="F88" s="31" t="s">
        <v>53</v>
      </c>
      <c r="G88" s="37">
        <v>67218</v>
      </c>
      <c r="H88" s="4">
        <v>0</v>
      </c>
      <c r="I88" s="4">
        <v>0.9</v>
      </c>
      <c r="J88" s="16"/>
      <c r="K88" s="31" t="s">
        <v>53</v>
      </c>
      <c r="L88" s="4">
        <v>67218</v>
      </c>
      <c r="M88" s="4">
        <v>0</v>
      </c>
      <c r="N88" s="4">
        <v>0.8</v>
      </c>
      <c r="O88" s="16"/>
    </row>
    <row r="89" spans="1:15" x14ac:dyDescent="0.35">
      <c r="A89" s="31"/>
      <c r="F89" s="31"/>
      <c r="J89" s="16"/>
      <c r="K89" s="31"/>
      <c r="O89" s="16"/>
    </row>
    <row r="90" spans="1:15" x14ac:dyDescent="0.35">
      <c r="A90" s="31"/>
      <c r="F90" s="31"/>
      <c r="J90" s="16"/>
      <c r="K90" s="31"/>
      <c r="O90" s="16"/>
    </row>
    <row r="91" spans="1:15" x14ac:dyDescent="0.35">
      <c r="J91" s="16"/>
      <c r="O91" s="16"/>
    </row>
    <row r="92" spans="1:15" x14ac:dyDescent="0.35">
      <c r="F92" s="4" t="s">
        <v>15</v>
      </c>
      <c r="G92" s="5"/>
      <c r="H92" s="5"/>
      <c r="I92" s="5"/>
      <c r="J92" s="16"/>
      <c r="K92" s="4" t="s">
        <v>19</v>
      </c>
      <c r="L92" s="5"/>
      <c r="M92" s="5"/>
      <c r="N92" s="5"/>
      <c r="O92" s="16"/>
    </row>
    <row r="93" spans="1:15" x14ac:dyDescent="0.35">
      <c r="F93" s="6" t="s">
        <v>1</v>
      </c>
      <c r="G93" s="7" t="s">
        <v>2</v>
      </c>
      <c r="H93" s="7" t="s">
        <v>21</v>
      </c>
      <c r="I93" s="7" t="s">
        <v>34</v>
      </c>
      <c r="J93" s="16"/>
      <c r="K93" s="6" t="s">
        <v>1</v>
      </c>
      <c r="L93" s="7" t="s">
        <v>2</v>
      </c>
      <c r="M93" s="7" t="s">
        <v>21</v>
      </c>
      <c r="N93" s="7" t="s">
        <v>34</v>
      </c>
      <c r="O93" s="16"/>
    </row>
    <row r="94" spans="1:15" x14ac:dyDescent="0.35">
      <c r="F94" s="31" t="s">
        <v>46</v>
      </c>
      <c r="G94" s="4">
        <v>58833</v>
      </c>
      <c r="H94" s="4">
        <v>0.5</v>
      </c>
      <c r="I94" s="4">
        <v>8.8000000000000007</v>
      </c>
      <c r="K94" s="31" t="s">
        <v>46</v>
      </c>
      <c r="L94" s="4">
        <f>(61777+62222)/2</f>
        <v>61999.5</v>
      </c>
      <c r="M94" s="4">
        <f>(4.3+0.7)/2</f>
        <v>2.5</v>
      </c>
      <c r="N94" s="4">
        <f>(10.6+1.5)/2</f>
        <v>6.05</v>
      </c>
    </row>
    <row r="95" spans="1:15" x14ac:dyDescent="0.35">
      <c r="F95" s="31" t="s">
        <v>44</v>
      </c>
      <c r="G95" s="21"/>
      <c r="H95" s="11"/>
      <c r="I95" s="11"/>
      <c r="J95" s="16"/>
      <c r="K95" s="9" t="s">
        <v>44</v>
      </c>
      <c r="L95" s="21">
        <v>58472</v>
      </c>
      <c r="M95" s="11">
        <v>1.3</v>
      </c>
      <c r="N95" s="11">
        <v>11.5</v>
      </c>
      <c r="O95" s="16"/>
    </row>
    <row r="96" spans="1:15" x14ac:dyDescent="0.35">
      <c r="F96" s="31" t="s">
        <v>48</v>
      </c>
      <c r="G96" s="21"/>
      <c r="H96" s="11"/>
      <c r="I96" s="11"/>
      <c r="J96" s="16"/>
      <c r="K96" s="9" t="s">
        <v>48</v>
      </c>
      <c r="L96" s="21">
        <v>75215</v>
      </c>
      <c r="M96" s="11">
        <v>0</v>
      </c>
      <c r="N96" s="11">
        <v>9.1</v>
      </c>
      <c r="O96" s="16"/>
    </row>
    <row r="97" spans="6:15" x14ac:dyDescent="0.35">
      <c r="F97" s="31" t="s">
        <v>50</v>
      </c>
      <c r="G97" s="12">
        <v>62180</v>
      </c>
      <c r="H97" s="11">
        <v>0.3</v>
      </c>
      <c r="I97" s="11">
        <v>3.1</v>
      </c>
      <c r="J97" s="16"/>
      <c r="K97" s="9" t="s">
        <v>50</v>
      </c>
      <c r="L97" s="21">
        <v>64473</v>
      </c>
      <c r="M97" s="11">
        <v>0</v>
      </c>
      <c r="N97" s="11">
        <v>2.5</v>
      </c>
      <c r="O97" s="16"/>
    </row>
    <row r="98" spans="6:15" x14ac:dyDescent="0.35">
      <c r="F98" s="31" t="s">
        <v>43</v>
      </c>
      <c r="G98" s="12">
        <v>43393</v>
      </c>
      <c r="H98" s="11">
        <v>0.3</v>
      </c>
      <c r="I98" s="11">
        <v>1.6</v>
      </c>
      <c r="J98" s="16"/>
      <c r="K98" s="9" t="s">
        <v>43</v>
      </c>
      <c r="L98" s="21">
        <v>58495</v>
      </c>
      <c r="M98" s="11">
        <v>0</v>
      </c>
      <c r="N98" s="11">
        <v>1.3</v>
      </c>
      <c r="O98" s="16"/>
    </row>
    <row r="99" spans="6:15" x14ac:dyDescent="0.35">
      <c r="F99" s="31" t="s">
        <v>51</v>
      </c>
      <c r="G99" s="12">
        <v>63790</v>
      </c>
      <c r="H99" s="11">
        <v>1</v>
      </c>
      <c r="I99" s="11">
        <v>0.7</v>
      </c>
      <c r="J99" s="4" t="s">
        <v>35</v>
      </c>
      <c r="K99" s="9" t="s">
        <v>51</v>
      </c>
      <c r="L99" s="21">
        <v>69600</v>
      </c>
      <c r="M99" s="11">
        <v>0</v>
      </c>
      <c r="N99" s="11">
        <v>0.5</v>
      </c>
      <c r="O99" s="4" t="s">
        <v>35</v>
      </c>
    </row>
    <row r="100" spans="6:15" x14ac:dyDescent="0.35">
      <c r="F100" s="31" t="s">
        <v>52</v>
      </c>
      <c r="G100" s="12"/>
      <c r="H100" s="11"/>
      <c r="I100" s="11"/>
      <c r="J100" s="14">
        <f>SUM(H94:H105)/8</f>
        <v>0.88749999999999996</v>
      </c>
      <c r="K100" s="9" t="s">
        <v>52</v>
      </c>
      <c r="L100" s="21"/>
      <c r="M100" s="11"/>
      <c r="N100" s="11"/>
      <c r="O100" s="14">
        <f>SUM(M94:M105)/10</f>
        <v>0.38</v>
      </c>
    </row>
    <row r="101" spans="6:15" x14ac:dyDescent="0.35">
      <c r="F101" s="31" t="s">
        <v>54</v>
      </c>
      <c r="G101" s="37">
        <v>64842</v>
      </c>
      <c r="H101" s="4">
        <v>0</v>
      </c>
      <c r="I101" s="4">
        <v>3.5</v>
      </c>
      <c r="J101" s="4" t="s">
        <v>55</v>
      </c>
      <c r="K101" s="4" t="s">
        <v>54</v>
      </c>
      <c r="L101" s="4">
        <v>64842</v>
      </c>
      <c r="M101" s="4">
        <v>0</v>
      </c>
      <c r="N101" s="4">
        <v>3</v>
      </c>
      <c r="O101" s="4" t="s">
        <v>35</v>
      </c>
    </row>
    <row r="102" spans="6:15" x14ac:dyDescent="0.35">
      <c r="F102" s="31" t="s">
        <v>45</v>
      </c>
      <c r="G102" s="37">
        <v>78847</v>
      </c>
      <c r="H102" s="4">
        <v>0.7</v>
      </c>
      <c r="I102" s="4">
        <v>1.2</v>
      </c>
      <c r="J102" s="14">
        <f>AVERAGE(I94:I105)</f>
        <v>2.7624999999999997</v>
      </c>
      <c r="K102" s="4" t="s">
        <v>45</v>
      </c>
      <c r="L102" s="4">
        <v>78847</v>
      </c>
      <c r="M102" s="4">
        <v>0</v>
      </c>
      <c r="N102" s="4">
        <v>0.9</v>
      </c>
      <c r="O102" s="14">
        <f>AVERAGE(N93:N105)</f>
        <v>3.6850000000000001</v>
      </c>
    </row>
    <row r="103" spans="6:15" x14ac:dyDescent="0.35">
      <c r="F103" s="31" t="s">
        <v>49</v>
      </c>
      <c r="G103" s="37">
        <v>47481</v>
      </c>
      <c r="H103" s="4">
        <v>4.3</v>
      </c>
      <c r="I103" s="4">
        <v>2.4</v>
      </c>
      <c r="J103" s="4" t="s">
        <v>36</v>
      </c>
      <c r="K103" s="4" t="s">
        <v>49</v>
      </c>
      <c r="L103" s="4">
        <v>53961</v>
      </c>
      <c r="M103" s="4">
        <v>0</v>
      </c>
      <c r="N103" s="4">
        <v>1.3</v>
      </c>
      <c r="O103" s="4" t="s">
        <v>36</v>
      </c>
    </row>
    <row r="104" spans="6:15" x14ac:dyDescent="0.35">
      <c r="F104" s="31" t="s">
        <v>47</v>
      </c>
      <c r="G104" s="37"/>
      <c r="J104" s="16">
        <f>AVERAGE(G94:G105)</f>
        <v>60823</v>
      </c>
      <c r="K104" s="4" t="s">
        <v>47</v>
      </c>
      <c r="O104" s="16">
        <f>AVERAGE(L93:L105)</f>
        <v>65312.25</v>
      </c>
    </row>
    <row r="105" spans="6:15" x14ac:dyDescent="0.35">
      <c r="F105" s="31" t="s">
        <v>53</v>
      </c>
      <c r="G105" s="37">
        <v>67218</v>
      </c>
      <c r="H105" s="4">
        <v>0</v>
      </c>
      <c r="I105" s="4">
        <v>0.8</v>
      </c>
      <c r="K105" s="4" t="s">
        <v>53</v>
      </c>
      <c r="L105" s="4">
        <v>67218</v>
      </c>
      <c r="M105" s="4">
        <v>0</v>
      </c>
      <c r="N105" s="4">
        <v>0.7</v>
      </c>
    </row>
  </sheetData>
  <mergeCells count="2">
    <mergeCell ref="A1:T1"/>
    <mergeCell ref="A41:T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9C96-5EFE-40C0-9CAB-9A1A7AE18E0B}">
  <dimension ref="A1:BF84"/>
  <sheetViews>
    <sheetView topLeftCell="A60" zoomScale="64" workbookViewId="0">
      <selection activeCell="A66" sqref="A66:E78"/>
    </sheetView>
  </sheetViews>
  <sheetFormatPr baseColWidth="10" defaultRowHeight="14.5" x14ac:dyDescent="0.35"/>
  <cols>
    <col min="1" max="1" width="12.7265625" bestFit="1" customWidth="1"/>
    <col min="3" max="3" width="34.54296875" bestFit="1" customWidth="1"/>
    <col min="4" max="4" width="35.6328125" bestFit="1" customWidth="1"/>
    <col min="5" max="5" width="33.08984375" bestFit="1" customWidth="1"/>
    <col min="6" max="6" width="34.1796875" bestFit="1" customWidth="1"/>
    <col min="7" max="7" width="45.26953125" bestFit="1" customWidth="1"/>
    <col min="8" max="8" width="48" bestFit="1" customWidth="1"/>
    <col min="9" max="9" width="50.453125" bestFit="1" customWidth="1"/>
    <col min="10" max="10" width="52.1796875" bestFit="1" customWidth="1"/>
    <col min="20" max="20" width="11.54296875" customWidth="1"/>
  </cols>
  <sheetData>
    <row r="1" spans="1:20" ht="18" x14ac:dyDescent="0.4">
      <c r="A1" s="43" t="s">
        <v>22</v>
      </c>
      <c r="B1" s="43"/>
      <c r="C1" s="43" t="s">
        <v>23</v>
      </c>
      <c r="D1" s="43" t="s">
        <v>24</v>
      </c>
      <c r="E1" s="43" t="s">
        <v>25</v>
      </c>
      <c r="F1" s="43" t="s">
        <v>26</v>
      </c>
      <c r="G1" s="43" t="s">
        <v>27</v>
      </c>
      <c r="H1" s="43" t="s">
        <v>33</v>
      </c>
      <c r="I1" s="43" t="s">
        <v>28</v>
      </c>
      <c r="J1" s="43" t="s">
        <v>57</v>
      </c>
      <c r="L1" s="40"/>
      <c r="M1" s="40"/>
      <c r="N1" s="40"/>
    </row>
    <row r="2" spans="1:20" ht="20.5" x14ac:dyDescent="0.4">
      <c r="A2" s="43">
        <v>2025</v>
      </c>
      <c r="B2" s="43" t="s">
        <v>29</v>
      </c>
      <c r="C2" s="44">
        <v>74287.06</v>
      </c>
      <c r="D2" s="45">
        <f>C2*149</f>
        <v>11068771.939999999</v>
      </c>
      <c r="E2" s="44">
        <v>95601</v>
      </c>
      <c r="F2" s="44">
        <f>149*E2</f>
        <v>14244549</v>
      </c>
      <c r="G2" s="46">
        <v>66053.835005999994</v>
      </c>
      <c r="H2" s="44">
        <f>G2*130</f>
        <v>8586998.5507799983</v>
      </c>
      <c r="I2" s="47">
        <v>63611.534177000001</v>
      </c>
      <c r="J2" s="48">
        <f>I2*105</f>
        <v>6679211.0885850005</v>
      </c>
      <c r="L2" s="41"/>
      <c r="M2" s="41"/>
      <c r="N2" s="40"/>
    </row>
    <row r="3" spans="1:20" ht="20.5" x14ac:dyDescent="0.4">
      <c r="A3" s="43"/>
      <c r="B3" s="43" t="s">
        <v>30</v>
      </c>
      <c r="C3" s="44">
        <v>74922.81</v>
      </c>
      <c r="D3" s="45">
        <f t="shared" ref="D3:D13" si="0">C3*149</f>
        <v>11163498.689999999</v>
      </c>
      <c r="E3" s="44">
        <v>96428</v>
      </c>
      <c r="F3" s="44">
        <f t="shared" ref="F3:F13" si="1">149*E3</f>
        <v>14367772</v>
      </c>
      <c r="G3" s="46">
        <v>66627.117866999994</v>
      </c>
      <c r="H3" s="44">
        <f t="shared" ref="H3:H13" si="2">G3*130</f>
        <v>8661525.32271</v>
      </c>
      <c r="I3" s="47">
        <v>64157.015971000001</v>
      </c>
      <c r="J3" s="48">
        <f t="shared" ref="J3:J13" si="3">I3*105</f>
        <v>6736486.6769550005</v>
      </c>
      <c r="L3" s="42"/>
      <c r="M3" s="42"/>
      <c r="N3" s="42"/>
    </row>
    <row r="4" spans="1:20" ht="20.5" x14ac:dyDescent="0.4">
      <c r="A4" s="43"/>
      <c r="B4" s="43" t="s">
        <v>31</v>
      </c>
      <c r="C4" s="44">
        <v>75565.02</v>
      </c>
      <c r="D4" s="45">
        <f t="shared" si="0"/>
        <v>11259187.98</v>
      </c>
      <c r="E4" s="44">
        <v>97260</v>
      </c>
      <c r="F4" s="44">
        <f t="shared" si="1"/>
        <v>14491740</v>
      </c>
      <c r="G4" s="46">
        <v>67205.194168999995</v>
      </c>
      <c r="H4" s="44">
        <f t="shared" si="2"/>
        <v>8736675.2419699989</v>
      </c>
      <c r="I4" s="47">
        <v>64708.596363999997</v>
      </c>
      <c r="J4" s="48">
        <f t="shared" si="3"/>
        <v>6794402.6182199996</v>
      </c>
      <c r="L4" s="42"/>
      <c r="M4" s="42"/>
      <c r="N4" s="42"/>
    </row>
    <row r="5" spans="1:20" ht="20.5" x14ac:dyDescent="0.4">
      <c r="A5" s="43"/>
      <c r="B5" s="43" t="s">
        <v>32</v>
      </c>
      <c r="C5" s="44">
        <v>76214.149999999994</v>
      </c>
      <c r="D5" s="45">
        <f t="shared" si="0"/>
        <v>11355908.35</v>
      </c>
      <c r="E5" s="44">
        <v>98100</v>
      </c>
      <c r="F5" s="44">
        <f t="shared" si="1"/>
        <v>14616900</v>
      </c>
      <c r="G5" s="46">
        <v>67785.320124999998</v>
      </c>
      <c r="H5" s="44">
        <f t="shared" si="2"/>
        <v>8812091.616249999</v>
      </c>
      <c r="I5" s="47">
        <v>65265.030642999998</v>
      </c>
      <c r="J5" s="48">
        <f t="shared" si="3"/>
        <v>6852828.2175150001</v>
      </c>
      <c r="L5" s="42"/>
      <c r="M5" s="42"/>
      <c r="N5" s="42"/>
    </row>
    <row r="6" spans="1:20" ht="20.5" x14ac:dyDescent="0.4">
      <c r="A6" s="43">
        <v>2026</v>
      </c>
      <c r="B6" s="43" t="s">
        <v>29</v>
      </c>
      <c r="C6" s="44">
        <v>76867.070000000007</v>
      </c>
      <c r="D6" s="45">
        <f t="shared" si="0"/>
        <v>11453193.430000002</v>
      </c>
      <c r="E6" s="44">
        <v>101914</v>
      </c>
      <c r="F6" s="44">
        <f t="shared" si="1"/>
        <v>15185186</v>
      </c>
      <c r="G6" s="46">
        <v>68374.781306000004</v>
      </c>
      <c r="H6" s="44">
        <f t="shared" si="2"/>
        <v>8888721.5697800014</v>
      </c>
      <c r="I6" s="47">
        <v>65824.988974000007</v>
      </c>
      <c r="J6" s="48">
        <f t="shared" si="3"/>
        <v>6911623.8422700008</v>
      </c>
      <c r="L6" s="42"/>
      <c r="M6" s="42"/>
      <c r="N6" s="42"/>
    </row>
    <row r="7" spans="1:20" ht="20.5" x14ac:dyDescent="0.4">
      <c r="A7" s="43"/>
      <c r="B7" s="43" t="s">
        <v>30</v>
      </c>
      <c r="C7" s="44">
        <v>77526.210000000006</v>
      </c>
      <c r="D7" s="45">
        <f t="shared" si="0"/>
        <v>11551405.290000001</v>
      </c>
      <c r="E7" s="44">
        <v>102793</v>
      </c>
      <c r="F7" s="44">
        <f t="shared" si="1"/>
        <v>15316157</v>
      </c>
      <c r="G7" s="46">
        <v>68966.120314999993</v>
      </c>
      <c r="H7" s="44">
        <f t="shared" si="2"/>
        <v>8965595.6409499999</v>
      </c>
      <c r="I7" s="47">
        <v>66388.506957000005</v>
      </c>
      <c r="J7" s="48">
        <f t="shared" si="3"/>
        <v>6970793.2304850006</v>
      </c>
      <c r="L7" s="42"/>
      <c r="M7" s="42"/>
      <c r="N7" s="42"/>
    </row>
    <row r="8" spans="1:20" ht="20.5" x14ac:dyDescent="0.4">
      <c r="A8" s="43"/>
      <c r="B8" s="43" t="s">
        <v>31</v>
      </c>
      <c r="C8" s="44">
        <v>78190.84</v>
      </c>
      <c r="D8" s="45">
        <f t="shared" si="0"/>
        <v>11650435.16</v>
      </c>
      <c r="E8" s="44">
        <v>103681</v>
      </c>
      <c r="F8" s="44">
        <f t="shared" si="1"/>
        <v>15448469</v>
      </c>
      <c r="G8" s="46">
        <v>69563.769224000003</v>
      </c>
      <c r="H8" s="44">
        <f t="shared" si="2"/>
        <v>9043289.9991200007</v>
      </c>
      <c r="I8" s="47">
        <v>66959.967938999995</v>
      </c>
      <c r="J8" s="48">
        <f t="shared" si="3"/>
        <v>7030796.6335949991</v>
      </c>
      <c r="L8" s="42"/>
      <c r="M8" s="42"/>
      <c r="N8" s="42"/>
    </row>
    <row r="9" spans="1:20" ht="20.5" x14ac:dyDescent="0.4">
      <c r="A9" s="43"/>
      <c r="B9" s="43" t="s">
        <v>32</v>
      </c>
      <c r="C9" s="44">
        <v>78860.399999999994</v>
      </c>
      <c r="D9" s="45">
        <f t="shared" si="0"/>
        <v>11750199.6</v>
      </c>
      <c r="E9" s="44">
        <v>104578</v>
      </c>
      <c r="F9" s="44">
        <f t="shared" si="1"/>
        <v>15582122</v>
      </c>
      <c r="G9" s="46">
        <v>70165.434813999993</v>
      </c>
      <c r="H9" s="44">
        <f t="shared" si="2"/>
        <v>9121506.5258199982</v>
      </c>
      <c r="I9" s="47">
        <v>67537.242606999993</v>
      </c>
      <c r="J9" s="48">
        <f t="shared" si="3"/>
        <v>7091410.4737349991</v>
      </c>
      <c r="L9" s="42"/>
      <c r="M9" s="42"/>
      <c r="N9" s="42"/>
    </row>
    <row r="10" spans="1:20" ht="20.5" x14ac:dyDescent="0.4">
      <c r="A10" s="43">
        <v>2027</v>
      </c>
      <c r="B10" s="43" t="s">
        <v>29</v>
      </c>
      <c r="C10" s="44">
        <v>79537.399999999994</v>
      </c>
      <c r="D10" s="45">
        <f t="shared" si="0"/>
        <v>11851072.6</v>
      </c>
      <c r="E10" s="44">
        <v>108649</v>
      </c>
      <c r="F10" s="44">
        <f t="shared" si="1"/>
        <v>16188701</v>
      </c>
      <c r="G10" s="46">
        <v>70773.655752000006</v>
      </c>
      <c r="H10" s="44">
        <f t="shared" si="2"/>
        <v>9200575.2477600016</v>
      </c>
      <c r="I10" s="47">
        <v>68118.280645999999</v>
      </c>
      <c r="J10" s="48">
        <f t="shared" si="3"/>
        <v>7152419.4678299995</v>
      </c>
      <c r="L10" s="42"/>
      <c r="M10" s="42"/>
      <c r="N10" s="42"/>
    </row>
    <row r="11" spans="1:20" ht="20.5" x14ac:dyDescent="0.4">
      <c r="A11" s="43"/>
      <c r="B11" s="43" t="s">
        <v>30</v>
      </c>
      <c r="C11" s="44">
        <v>80219.02</v>
      </c>
      <c r="D11" s="45">
        <f t="shared" si="0"/>
        <v>11952633.98</v>
      </c>
      <c r="E11" s="44">
        <v>109585</v>
      </c>
      <c r="F11" s="44">
        <f t="shared" si="1"/>
        <v>16328165</v>
      </c>
      <c r="G11" s="46">
        <v>71390.270369999998</v>
      </c>
      <c r="H11" s="44">
        <f t="shared" si="2"/>
        <v>9280735.1480999999</v>
      </c>
      <c r="I11" s="47">
        <v>68702.912175000005</v>
      </c>
      <c r="J11" s="48">
        <f t="shared" si="3"/>
        <v>7213805.7783750007</v>
      </c>
      <c r="L11" s="42"/>
      <c r="M11" s="42"/>
      <c r="N11" s="42"/>
    </row>
    <row r="12" spans="1:20" ht="20.5" x14ac:dyDescent="0.4">
      <c r="A12" s="43"/>
      <c r="B12" s="43" t="s">
        <v>31</v>
      </c>
      <c r="C12" s="44">
        <v>80907.759999999995</v>
      </c>
      <c r="D12" s="45">
        <f t="shared" si="0"/>
        <v>12055256.239999998</v>
      </c>
      <c r="E12" s="44">
        <v>110530</v>
      </c>
      <c r="F12" s="44">
        <f t="shared" si="1"/>
        <v>16468970</v>
      </c>
      <c r="G12" s="46">
        <v>72010.270606000006</v>
      </c>
      <c r="H12" s="44">
        <f t="shared" si="2"/>
        <v>9361335.1787800007</v>
      </c>
      <c r="I12" s="47">
        <v>69295.337098000004</v>
      </c>
      <c r="J12" s="48">
        <f t="shared" si="3"/>
        <v>7276010.3952900004</v>
      </c>
      <c r="L12" s="42"/>
      <c r="M12" s="42"/>
      <c r="N12" s="42"/>
    </row>
    <row r="13" spans="1:20" ht="20.5" x14ac:dyDescent="0.4">
      <c r="A13" s="43"/>
      <c r="B13" s="43" t="s">
        <v>32</v>
      </c>
      <c r="C13" s="44">
        <v>81600.28</v>
      </c>
      <c r="D13" s="45">
        <f t="shared" si="0"/>
        <v>12158441.720000001</v>
      </c>
      <c r="E13" s="44">
        <v>111487</v>
      </c>
      <c r="F13" s="44">
        <f t="shared" si="1"/>
        <v>16611563</v>
      </c>
      <c r="G13" s="46">
        <v>72634.854691999994</v>
      </c>
      <c r="H13" s="44">
        <f t="shared" si="2"/>
        <v>9442531.1099599991</v>
      </c>
      <c r="I13" s="47">
        <v>69890.476095999999</v>
      </c>
      <c r="J13" s="48">
        <f t="shared" si="3"/>
        <v>7338499.9900799999</v>
      </c>
      <c r="L13" s="42"/>
      <c r="M13" s="42"/>
      <c r="N13" s="42"/>
    </row>
    <row r="14" spans="1:20" ht="18" x14ac:dyDescent="0.4">
      <c r="C14" s="1"/>
      <c r="D14" s="1"/>
      <c r="E14" s="1"/>
      <c r="F14" s="1"/>
      <c r="G14" s="1"/>
      <c r="H14" s="2"/>
      <c r="L14" s="42"/>
      <c r="M14" s="42"/>
      <c r="N14" s="42"/>
      <c r="Q14" t="s">
        <v>46</v>
      </c>
      <c r="T14" s="30" t="s">
        <v>1</v>
      </c>
    </row>
    <row r="15" spans="1:20" ht="18" x14ac:dyDescent="0.4">
      <c r="H15" s="2"/>
      <c r="L15" s="40"/>
      <c r="M15" s="40"/>
      <c r="N15" s="40"/>
      <c r="Q15" t="s">
        <v>44</v>
      </c>
      <c r="T15" s="9" t="s">
        <v>46</v>
      </c>
    </row>
    <row r="16" spans="1:20" ht="18" x14ac:dyDescent="0.4">
      <c r="H16" s="2"/>
      <c r="Q16" t="s">
        <v>48</v>
      </c>
      <c r="T16" s="9" t="s">
        <v>44</v>
      </c>
    </row>
    <row r="17" spans="8:20" ht="18" x14ac:dyDescent="0.4">
      <c r="H17" s="2"/>
      <c r="Q17" t="s">
        <v>50</v>
      </c>
      <c r="T17" s="9" t="s">
        <v>48</v>
      </c>
    </row>
    <row r="18" spans="8:20" x14ac:dyDescent="0.35">
      <c r="Q18" t="s">
        <v>43</v>
      </c>
      <c r="T18" s="9" t="s">
        <v>50</v>
      </c>
    </row>
    <row r="19" spans="8:20" x14ac:dyDescent="0.35">
      <c r="Q19" t="s">
        <v>51</v>
      </c>
      <c r="T19" s="9" t="s">
        <v>43</v>
      </c>
    </row>
    <row r="20" spans="8:20" x14ac:dyDescent="0.35">
      <c r="Q20" t="s">
        <v>52</v>
      </c>
      <c r="T20" s="9" t="s">
        <v>51</v>
      </c>
    </row>
    <row r="21" spans="8:20" x14ac:dyDescent="0.35">
      <c r="Q21" t="s">
        <v>54</v>
      </c>
      <c r="T21" s="22" t="s">
        <v>52</v>
      </c>
    </row>
    <row r="22" spans="8:20" x14ac:dyDescent="0.35">
      <c r="Q22" t="s">
        <v>45</v>
      </c>
      <c r="T22" s="22" t="s">
        <v>54</v>
      </c>
    </row>
    <row r="23" spans="8:20" x14ac:dyDescent="0.35">
      <c r="Q23" t="s">
        <v>49</v>
      </c>
      <c r="T23" s="22" t="s">
        <v>45</v>
      </c>
    </row>
    <row r="24" spans="8:20" x14ac:dyDescent="0.35">
      <c r="Q24" t="s">
        <v>47</v>
      </c>
      <c r="T24" s="22" t="s">
        <v>49</v>
      </c>
    </row>
    <row r="25" spans="8:20" x14ac:dyDescent="0.35">
      <c r="Q25" t="s">
        <v>53</v>
      </c>
      <c r="T25" s="22" t="s">
        <v>47</v>
      </c>
    </row>
    <row r="26" spans="8:20" x14ac:dyDescent="0.35">
      <c r="T26" s="22" t="s">
        <v>53</v>
      </c>
    </row>
    <row r="63" spans="6:10" x14ac:dyDescent="0.35">
      <c r="F63" s="40"/>
      <c r="G63" s="40"/>
      <c r="H63" s="40"/>
      <c r="I63" s="40"/>
      <c r="J63" s="40"/>
    </row>
    <row r="64" spans="6:10" x14ac:dyDescent="0.35">
      <c r="F64" s="40"/>
      <c r="G64" s="41"/>
      <c r="H64" s="41"/>
      <c r="I64" s="40"/>
      <c r="J64" s="40"/>
    </row>
    <row r="65" spans="1:58" x14ac:dyDescent="0.35">
      <c r="F65" s="40"/>
      <c r="G65" s="42"/>
      <c r="H65" s="42"/>
      <c r="I65" s="42"/>
      <c r="J65" s="40"/>
    </row>
    <row r="66" spans="1:58" ht="23" x14ac:dyDescent="0.35">
      <c r="A66" s="49" t="s">
        <v>22</v>
      </c>
      <c r="B66" s="49"/>
      <c r="C66" s="49" t="s">
        <v>60</v>
      </c>
      <c r="D66" s="49" t="s">
        <v>61</v>
      </c>
      <c r="E66" s="49" t="s">
        <v>62</v>
      </c>
      <c r="F66" s="40"/>
      <c r="G66" s="42"/>
      <c r="H66" s="42"/>
      <c r="I66" s="42"/>
      <c r="J66" s="40"/>
    </row>
    <row r="67" spans="1:58" ht="23" x14ac:dyDescent="0.35">
      <c r="A67" s="49">
        <v>2025</v>
      </c>
      <c r="B67" s="49" t="s">
        <v>29</v>
      </c>
      <c r="C67" s="51">
        <v>1.152728</v>
      </c>
      <c r="D67" s="50">
        <v>0.33138699999999999</v>
      </c>
      <c r="E67" s="50">
        <v>6.5225049999999998</v>
      </c>
      <c r="F67" s="41"/>
      <c r="G67" s="40"/>
      <c r="H67" s="42"/>
      <c r="I67" s="42"/>
      <c r="J67" s="40"/>
    </row>
    <row r="68" spans="1:58" ht="23" x14ac:dyDescent="0.35">
      <c r="A68" s="49"/>
      <c r="B68" s="49" t="s">
        <v>30</v>
      </c>
      <c r="C68" s="51">
        <v>1.1626099999999999</v>
      </c>
      <c r="D68" s="50">
        <v>0.334233</v>
      </c>
      <c r="E68" s="50">
        <v>6.5782499999999997</v>
      </c>
      <c r="F68" s="42"/>
      <c r="G68" s="42"/>
      <c r="H68" s="42"/>
      <c r="I68" s="42"/>
      <c r="J68" s="40"/>
    </row>
    <row r="69" spans="1:58" ht="23" x14ac:dyDescent="0.35">
      <c r="A69" s="49"/>
      <c r="B69" s="49" t="s">
        <v>31</v>
      </c>
      <c r="C69" s="51">
        <v>1.1726160000000001</v>
      </c>
      <c r="D69" s="50">
        <v>0.33710000000000001</v>
      </c>
      <c r="E69" s="50">
        <v>6.6345850000000004</v>
      </c>
      <c r="F69" s="42"/>
      <c r="G69" s="42"/>
      <c r="H69" s="42"/>
      <c r="I69" s="42"/>
      <c r="J69" s="40"/>
      <c r="N69">
        <v>1.152728</v>
      </c>
      <c r="R69">
        <v>1.1626099999999999</v>
      </c>
      <c r="V69">
        <v>1.1726160000000001</v>
      </c>
      <c r="Z69">
        <v>1.1826939999999999</v>
      </c>
      <c r="AD69">
        <v>1.192836</v>
      </c>
      <c r="AH69">
        <v>1.203049</v>
      </c>
      <c r="AL69">
        <v>1.213408</v>
      </c>
      <c r="AP69">
        <v>1.2238469999999999</v>
      </c>
      <c r="AT69">
        <v>1.234369</v>
      </c>
      <c r="AX69">
        <v>1.2449410000000001</v>
      </c>
      <c r="BB69">
        <v>1.255614</v>
      </c>
      <c r="BF69">
        <v>1.266411</v>
      </c>
    </row>
    <row r="70" spans="1:58" ht="23" x14ac:dyDescent="0.35">
      <c r="A70" s="49"/>
      <c r="B70" s="49" t="s">
        <v>32</v>
      </c>
      <c r="C70" s="51">
        <v>1.1826939999999999</v>
      </c>
      <c r="D70" s="50">
        <v>0.34</v>
      </c>
      <c r="E70" s="50">
        <v>6.6914769999999999</v>
      </c>
      <c r="F70" s="42"/>
      <c r="G70" s="42"/>
      <c r="H70" s="42"/>
      <c r="I70" s="42"/>
      <c r="J70" s="40"/>
    </row>
    <row r="71" spans="1:58" ht="23" x14ac:dyDescent="0.35">
      <c r="A71" s="49">
        <v>2026</v>
      </c>
      <c r="B71" s="49" t="s">
        <v>29</v>
      </c>
      <c r="C71" s="51">
        <v>1.192836</v>
      </c>
      <c r="D71" s="50">
        <v>0.34291700000000003</v>
      </c>
      <c r="E71" s="50">
        <v>6.7486949999999997</v>
      </c>
      <c r="F71" s="42"/>
      <c r="G71" s="42"/>
      <c r="H71" s="42"/>
      <c r="I71" s="42"/>
      <c r="J71" s="40"/>
    </row>
    <row r="72" spans="1:58" ht="23" x14ac:dyDescent="0.35">
      <c r="A72" s="49"/>
      <c r="B72" s="49" t="s">
        <v>30</v>
      </c>
      <c r="C72" s="51">
        <v>1.203049</v>
      </c>
      <c r="D72" s="50">
        <v>0.34586800000000001</v>
      </c>
      <c r="E72" s="50">
        <v>6.8065709999999999</v>
      </c>
      <c r="F72" s="42"/>
      <c r="G72" s="42"/>
      <c r="H72" s="42"/>
      <c r="I72" s="42"/>
      <c r="J72" s="40"/>
    </row>
    <row r="73" spans="1:58" ht="23" x14ac:dyDescent="0.35">
      <c r="A73" s="49"/>
      <c r="B73" s="49" t="s">
        <v>31</v>
      </c>
      <c r="C73" s="51">
        <v>1.213408</v>
      </c>
      <c r="D73" s="50">
        <v>0.34882000000000002</v>
      </c>
      <c r="E73" s="50">
        <v>6.8648899999999999</v>
      </c>
      <c r="F73" s="42"/>
      <c r="G73" s="42"/>
      <c r="H73" s="42"/>
      <c r="I73" s="42"/>
      <c r="J73" s="40"/>
    </row>
    <row r="74" spans="1:58" ht="23" x14ac:dyDescent="0.35">
      <c r="A74" s="49"/>
      <c r="B74" s="49" t="s">
        <v>32</v>
      </c>
      <c r="C74" s="51">
        <v>1.2238469999999999</v>
      </c>
      <c r="D74" s="50">
        <v>0.351823</v>
      </c>
      <c r="E74" s="50">
        <v>6.9237469999999997</v>
      </c>
      <c r="F74" s="42"/>
      <c r="G74" s="42"/>
      <c r="H74" s="42"/>
      <c r="I74" s="42"/>
      <c r="J74" s="40"/>
    </row>
    <row r="75" spans="1:58" ht="23" x14ac:dyDescent="0.35">
      <c r="A75" s="49">
        <v>2027</v>
      </c>
      <c r="B75" s="49" t="s">
        <v>29</v>
      </c>
      <c r="C75" s="51">
        <v>1.234369</v>
      </c>
      <c r="D75" s="50">
        <v>0.354848</v>
      </c>
      <c r="E75" s="50">
        <v>6.9832789999999996</v>
      </c>
      <c r="F75" s="42"/>
      <c r="G75" s="42"/>
      <c r="H75" s="42"/>
      <c r="I75" s="42"/>
      <c r="J75" s="40"/>
    </row>
    <row r="76" spans="1:58" ht="23" x14ac:dyDescent="0.35">
      <c r="A76" s="49"/>
      <c r="B76" s="49" t="s">
        <v>30</v>
      </c>
      <c r="C76" s="51">
        <v>1.2449410000000001</v>
      </c>
      <c r="D76" s="50">
        <v>0.3579</v>
      </c>
      <c r="E76" s="50">
        <v>7.0429849999999998</v>
      </c>
      <c r="F76" s="42"/>
      <c r="G76" s="42"/>
      <c r="H76" s="42"/>
      <c r="I76" s="42"/>
      <c r="J76" s="40"/>
    </row>
    <row r="77" spans="1:58" ht="23" x14ac:dyDescent="0.35">
      <c r="A77" s="49"/>
      <c r="B77" s="49" t="s">
        <v>31</v>
      </c>
      <c r="C77" s="51">
        <v>1.255614</v>
      </c>
      <c r="D77" s="50">
        <v>0.360981</v>
      </c>
      <c r="E77" s="50">
        <v>7.1038199999999998</v>
      </c>
      <c r="F77" s="42"/>
      <c r="G77" s="42"/>
      <c r="H77" s="40"/>
      <c r="I77" s="40"/>
      <c r="J77" s="40"/>
    </row>
    <row r="78" spans="1:58" ht="23" x14ac:dyDescent="0.35">
      <c r="A78" s="49"/>
      <c r="B78" s="49" t="s">
        <v>32</v>
      </c>
      <c r="C78" s="51">
        <v>1.266411</v>
      </c>
      <c r="D78" s="50">
        <v>0.36408699999999999</v>
      </c>
      <c r="E78" s="50">
        <v>7.164949</v>
      </c>
      <c r="F78" s="42"/>
      <c r="G78" s="42"/>
      <c r="H78" s="40"/>
      <c r="I78" s="40"/>
      <c r="J78" s="40"/>
    </row>
    <row r="79" spans="1:58" x14ac:dyDescent="0.35">
      <c r="E79" s="42"/>
      <c r="F79" s="42"/>
      <c r="G79" s="42"/>
      <c r="H79" s="40"/>
      <c r="I79" s="40"/>
      <c r="J79" s="40"/>
    </row>
    <row r="80" spans="1:58" x14ac:dyDescent="0.35">
      <c r="F80" s="40"/>
      <c r="G80" s="40"/>
      <c r="H80" s="40"/>
      <c r="I80" s="40"/>
      <c r="J80" s="40"/>
    </row>
    <row r="81" spans="6:10" x14ac:dyDescent="0.35">
      <c r="F81" s="40"/>
      <c r="G81" s="40"/>
      <c r="H81" s="40"/>
      <c r="I81" s="40"/>
      <c r="J81" s="40"/>
    </row>
    <row r="82" spans="6:10" x14ac:dyDescent="0.35">
      <c r="F82" s="40"/>
      <c r="G82" s="40"/>
      <c r="H82" s="40"/>
      <c r="I82" s="40"/>
      <c r="J82" s="40"/>
    </row>
    <row r="83" spans="6:10" x14ac:dyDescent="0.35">
      <c r="F83" s="40"/>
      <c r="G83" s="40"/>
      <c r="H83" s="40"/>
      <c r="I83" s="40"/>
      <c r="J83" s="40"/>
    </row>
    <row r="84" spans="6:10" x14ac:dyDescent="0.35">
      <c r="F84" s="40"/>
      <c r="G84" s="40"/>
      <c r="H84" s="40"/>
      <c r="I84" s="40"/>
      <c r="J84" s="40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2025-03-10T18:21:14Z</dcterms:created>
  <dcterms:modified xsi:type="dcterms:W3CDTF">2025-03-11T21:07:57Z</dcterms:modified>
</cp:coreProperties>
</file>