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README" sheetId="1" r:id="rId1"/>
    <sheet name="Inputs" sheetId="2" r:id="rId2"/>
    <sheet name="Seasonality" sheetId="3" r:id="rId3"/>
    <sheet name="Thresholds" sheetId="4" r:id="rId4"/>
    <sheet name="Monthly" sheetId="5" r:id="rId5"/>
    <sheet name="Annual" sheetId="6" r:id="rId6"/>
    <sheet name="Check" sheetId="7" r:id="rId7"/>
  </sheets>
  <definedNames>
    <definedName name="_xlnm._FilterDatabase" localSheetId="4" hidden="1">Monthly!$A$1:$S$361</definedName>
    <definedName name="CITY_A">Inputs!$B$7</definedName>
    <definedName name="EPS">Inputs!$B$5</definedName>
    <definedName name="INF_A">Inputs!$B$9</definedName>
    <definedName name="P0_M2">Inputs!$B$4</definedName>
    <definedName name="PLUS_A">Inputs!$B$10</definedName>
    <definedName name="PREF">Inputs!$B$8</definedName>
    <definedName name="SEASON_FACTORS">Seasonality!$B$2:$B$13</definedName>
    <definedName name="SIZE_M2">Inputs!$B$3</definedName>
    <definedName name="START">Inputs!$B$12</definedName>
    <definedName name="STEP">Inputs!$B$11</definedName>
    <definedName name="THETA">Inputs!$B$6</definedName>
    <definedName name="THRESH_ABS">Thresholds!$C$2:$C$7</definedName>
    <definedName name="THRESH_FRAC">Thresholds!$A$2:$A$7</definedName>
  </definedNames>
  <calcPr calcId="124519" fullCalcOnLoad="1"/>
</workbook>
</file>

<file path=xl/sharedStrings.xml><?xml version="1.0" encoding="utf-8"?>
<sst xmlns="http://schemas.openxmlformats.org/spreadsheetml/2006/main" count="86" uniqueCount="83">
  <si>
    <t xml:space="preserve"> </t>
  </si>
  <si>
    <t>Cómo usar</t>
  </si>
  <si>
    <t>1) Edita celdas azules en Inputs.</t>
  </si>
  <si>
    <t>2) Cambia 'Tamaño m²' y 'Precio inicial $/m²'.</t>
  </si>
  <si>
    <t>3) Monthly recalcula hasta sold-out (máx 360 meses).</t>
  </si>
  <si>
    <t>4) Annual consolida por año (bloques de 12 meses).</t>
  </si>
  <si>
    <t>5) Check valida identidades (lotes/m²).</t>
  </si>
  <si>
    <t>Nominal incluye inflación; Real deflacta por inflación.</t>
  </si>
  <si>
    <t>Escalones: +Step% por año y al cruzar 15%,30%,...,90% vendido.</t>
  </si>
  <si>
    <t>Parámetro</t>
  </si>
  <si>
    <t>Valor</t>
  </si>
  <si>
    <t>Nombre</t>
  </si>
  <si>
    <t>Nota</t>
  </si>
  <si>
    <t>Inventario inicial (lotes)</t>
  </si>
  <si>
    <t>Tamaño promedio del lote (m²)</t>
  </si>
  <si>
    <t>Precio inicial por m² ($/m²)</t>
  </si>
  <si>
    <t>Elasticidad precio–demanda (ε)</t>
  </si>
  <si>
    <t>Tasa de competitividad (θ)</t>
  </si>
  <si>
    <t>Absorción ciudad (lotes/mes)</t>
  </si>
  <si>
    <t>Precio ref. zona ($/m²)</t>
  </si>
  <si>
    <t>Inflación anual (π)</t>
  </si>
  <si>
    <t>Plusvalía real anual (g)</t>
  </si>
  <si>
    <t>Escalón (+%)</t>
  </si>
  <si>
    <t>Mes inicio (AAAA-MM)</t>
  </si>
  <si>
    <t>2025-09</t>
  </si>
  <si>
    <t>I0</t>
  </si>
  <si>
    <t>SIZE_M2</t>
  </si>
  <si>
    <t>P0_M2</t>
  </si>
  <si>
    <t>EPS</t>
  </si>
  <si>
    <t>THETA</t>
  </si>
  <si>
    <t>CITY_A</t>
  </si>
  <si>
    <t>PREF</t>
  </si>
  <si>
    <t>INF_A</t>
  </si>
  <si>
    <t>PLUS_A</t>
  </si>
  <si>
    <t>STEP</t>
  </si>
  <si>
    <t>START</t>
  </si>
  <si>
    <t>Lotes a vender</t>
  </si>
  <si>
    <t>Cambia aquí (azul)</t>
  </si>
  <si>
    <t>Negativa</t>
  </si>
  <si>
    <t>Mayor θ =&gt; mayor participación</t>
  </si>
  <si>
    <t>Referencia ciudad</t>
  </si>
  <si>
    <t>Para ratio de precio</t>
  </si>
  <si>
    <t>Nominal incluye esta inflación</t>
  </si>
  <si>
    <t>Aumento real de valor</t>
  </si>
  <si>
    <t>Incremento por año o umbral</t>
  </si>
  <si>
    <t>Solo etiqueta de año</t>
  </si>
  <si>
    <t>Mes</t>
  </si>
  <si>
    <t>Factor</t>
  </si>
  <si>
    <t>Frac vendido</t>
  </si>
  <si>
    <t>Umbral absoluto (lotes)</t>
  </si>
  <si>
    <t>MonthIdx</t>
  </si>
  <si>
    <t>Date</t>
  </si>
  <si>
    <t>Season</t>
  </si>
  <si>
    <t>AnnualSteps</t>
  </si>
  <si>
    <t>ThreshSteps</t>
  </si>
  <si>
    <t>StepMult</t>
  </si>
  <si>
    <t>Price_m2_nom</t>
  </si>
  <si>
    <t>Price_m2_real</t>
  </si>
  <si>
    <t>PriceRatio</t>
  </si>
  <si>
    <t>PriceFactor</t>
  </si>
  <si>
    <t>Share</t>
  </si>
  <si>
    <t>Sales_lots</t>
  </si>
  <si>
    <t>Sales_m2</t>
  </si>
  <si>
    <t>Inventory_end</t>
  </si>
  <si>
    <t>Ticket_nom</t>
  </si>
  <si>
    <t>Revenue_nom</t>
  </si>
  <si>
    <t>Revenue_real</t>
  </si>
  <si>
    <t>Cum_sold</t>
  </si>
  <si>
    <t>YearBlock</t>
  </si>
  <si>
    <t>Año</t>
  </si>
  <si>
    <t>Meses en año</t>
  </si>
  <si>
    <t>Precio m² (nominal)</t>
  </si>
  <si>
    <t>Ventas mensuales (lotes)</t>
  </si>
  <si>
    <t>Ventas mensuales (m²)</t>
  </si>
  <si>
    <t>Inventario restante</t>
  </si>
  <si>
    <t>Ingreso mensual (MXN)</t>
  </si>
  <si>
    <t>Ingreso mensual real (MXN)</t>
  </si>
  <si>
    <t>Chequeos</t>
  </si>
  <si>
    <t>Mes de sold-out (primer mes con inventario &lt;= 0)</t>
  </si>
  <si>
    <t>Total lotes vendidos (debe ser I0)</t>
  </si>
  <si>
    <t>Total m² vendidos (debe ser I0*SIZE_M2)</t>
  </si>
  <si>
    <t>Promedio global lotes/mes</t>
  </si>
  <si>
    <t>Promedio global m²/mes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</si>
</sst>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theme" Target="theme/theme1.xml"/><Relationship Id="rId9" Type="http://schemas.openxmlformats.org/officeDocument/2006/relationships/styles" Target="styles.xml"/><Relationship Id="rId1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9"/>
  <sheetViews>
    <sheetView tabSelected="1" workbookViewId="0"/>
  </sheetViews>
  <sheetFormatPr defaultRowHeight="15"/>
  <sheetData>
    <row r="1" spans="1:2">
      <c r="A1" s="1" t="s">
        <v>0</v>
      </c>
      <c r="B1" s="1" t="s">
        <v>0</v>
      </c>
    </row>
    <row r="2" spans="1:2">
      <c r="A2" t="s">
        <v>1</v>
      </c>
    </row>
    <row r="3" spans="1:2">
      <c r="A3" t="s">
        <v>2</v>
      </c>
    </row>
    <row r="4" spans="1:2">
      <c r="A4" t="s">
        <v>3</v>
      </c>
    </row>
    <row r="5" spans="1:2">
      <c r="A5" t="s">
        <v>4</v>
      </c>
    </row>
    <row r="6" spans="1:2">
      <c r="A6" t="s">
        <v>5</v>
      </c>
    </row>
    <row r="7" spans="1:2">
      <c r="A7" t="s">
        <v>6</v>
      </c>
    </row>
    <row r="8" spans="1:2">
      <c r="A8" t="s">
        <v>7</v>
      </c>
    </row>
    <row r="9" spans="1:2">
      <c r="A9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2"/>
  <sheetViews>
    <sheetView workbookViewId="0"/>
  </sheetViews>
  <sheetFormatPr defaultRowHeight="15"/>
  <cols>
    <col min="1" max="1" width="36.7109375" customWidth="1"/>
    <col min="2" max="2" width="20.7109375" style="2" customWidth="1"/>
    <col min="3" max="3" width="14.7109375" customWidth="1"/>
    <col min="4" max="4" width="44.7109375" customWidth="1"/>
  </cols>
  <sheetData>
    <row r="1" spans="1:4">
      <c r="A1" s="1" t="s">
        <v>9</v>
      </c>
      <c r="B1" s="1" t="s">
        <v>10</v>
      </c>
      <c r="C1" s="1" t="s">
        <v>11</v>
      </c>
      <c r="D1" s="1" t="s">
        <v>12</v>
      </c>
    </row>
    <row r="2" spans="1:4">
      <c r="A2" t="s">
        <v>13</v>
      </c>
      <c r="B2" s="2">
        <v>1000</v>
      </c>
      <c r="C2" t="s">
        <v>25</v>
      </c>
      <c r="D2" t="s">
        <v>36</v>
      </c>
    </row>
    <row r="3" spans="1:4">
      <c r="A3" t="s">
        <v>14</v>
      </c>
      <c r="B3" s="2">
        <v>112</v>
      </c>
      <c r="C3" t="s">
        <v>26</v>
      </c>
      <c r="D3" t="s">
        <v>37</v>
      </c>
    </row>
    <row r="4" spans="1:4">
      <c r="A4" t="s">
        <v>15</v>
      </c>
      <c r="B4" s="2">
        <v>5100</v>
      </c>
      <c r="C4" t="s">
        <v>27</v>
      </c>
      <c r="D4" t="s">
        <v>37</v>
      </c>
    </row>
    <row r="5" spans="1:4">
      <c r="A5" t="s">
        <v>16</v>
      </c>
      <c r="B5" s="2">
        <v>-0.25</v>
      </c>
      <c r="C5" t="s">
        <v>28</v>
      </c>
      <c r="D5" t="s">
        <v>38</v>
      </c>
    </row>
    <row r="6" spans="1:4">
      <c r="A6" t="s">
        <v>17</v>
      </c>
      <c r="B6" s="2">
        <v>0.07000000000000001</v>
      </c>
      <c r="C6" t="s">
        <v>29</v>
      </c>
      <c r="D6" t="s">
        <v>39</v>
      </c>
    </row>
    <row r="7" spans="1:4">
      <c r="A7" t="s">
        <v>18</v>
      </c>
      <c r="B7" s="2">
        <v>137.9</v>
      </c>
      <c r="C7" t="s">
        <v>30</v>
      </c>
      <c r="D7" t="s">
        <v>40</v>
      </c>
    </row>
    <row r="8" spans="1:4">
      <c r="A8" t="s">
        <v>19</v>
      </c>
      <c r="B8" s="2">
        <v>5390</v>
      </c>
      <c r="C8" t="s">
        <v>31</v>
      </c>
      <c r="D8" t="s">
        <v>41</v>
      </c>
    </row>
    <row r="9" spans="1:4">
      <c r="A9" t="s">
        <v>20</v>
      </c>
      <c r="B9" s="2">
        <v>0.04</v>
      </c>
      <c r="C9" t="s">
        <v>32</v>
      </c>
      <c r="D9" t="s">
        <v>42</v>
      </c>
    </row>
    <row r="10" spans="1:4">
      <c r="A10" t="s">
        <v>21</v>
      </c>
      <c r="B10" s="2">
        <v>0.015</v>
      </c>
      <c r="C10" t="s">
        <v>33</v>
      </c>
      <c r="D10" t="s">
        <v>43</v>
      </c>
    </row>
    <row r="11" spans="1:4">
      <c r="A11" t="s">
        <v>22</v>
      </c>
      <c r="B11" s="2">
        <v>0.03</v>
      </c>
      <c r="C11" t="s">
        <v>34</v>
      </c>
      <c r="D11" t="s">
        <v>44</v>
      </c>
    </row>
    <row r="12" spans="1:4">
      <c r="A12" t="s">
        <v>23</v>
      </c>
      <c r="B12" s="2" t="s">
        <v>24</v>
      </c>
      <c r="C12" t="s">
        <v>35</v>
      </c>
      <c r="D1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/>
  </sheetViews>
  <sheetFormatPr defaultRowHeight="15"/>
  <cols>
    <col min="1" max="1" width="10.7109375" customWidth="1"/>
    <col min="2" max="2" width="12.7109375" style="2" customWidth="1"/>
  </cols>
  <sheetData>
    <row r="1" spans="1:2">
      <c r="A1" s="1" t="s">
        <v>46</v>
      </c>
      <c r="B1" s="1" t="s">
        <v>47</v>
      </c>
    </row>
    <row r="2" spans="1:2">
      <c r="A2">
        <v>1</v>
      </c>
      <c r="B2" s="2">
        <v>0.9</v>
      </c>
    </row>
    <row r="3" spans="1:2">
      <c r="A3">
        <v>2</v>
      </c>
      <c r="B3" s="2">
        <v>0.95</v>
      </c>
    </row>
    <row r="4" spans="1:2">
      <c r="A4">
        <v>3</v>
      </c>
      <c r="B4" s="2">
        <v>1</v>
      </c>
    </row>
    <row r="5" spans="1:2">
      <c r="A5">
        <v>4</v>
      </c>
      <c r="B5" s="2">
        <v>1.05</v>
      </c>
    </row>
    <row r="6" spans="1:2">
      <c r="A6">
        <v>5</v>
      </c>
      <c r="B6" s="2">
        <v>1.1</v>
      </c>
    </row>
    <row r="7" spans="1:2">
      <c r="A7">
        <v>6</v>
      </c>
      <c r="B7" s="2">
        <v>1.15</v>
      </c>
    </row>
    <row r="8" spans="1:2">
      <c r="A8">
        <v>7</v>
      </c>
      <c r="B8" s="2">
        <v>1.25</v>
      </c>
    </row>
    <row r="9" spans="1:2">
      <c r="A9">
        <v>8</v>
      </c>
      <c r="B9" s="2">
        <v>1.2</v>
      </c>
    </row>
    <row r="10" spans="1:2">
      <c r="A10">
        <v>9</v>
      </c>
      <c r="B10" s="2">
        <v>1.05</v>
      </c>
    </row>
    <row r="11" spans="1:2">
      <c r="A11">
        <v>10</v>
      </c>
      <c r="B11" s="2">
        <v>0.9</v>
      </c>
    </row>
    <row r="12" spans="1:2">
      <c r="A12">
        <v>11</v>
      </c>
      <c r="B12" s="2">
        <v>0.95</v>
      </c>
    </row>
    <row r="13" spans="1:2">
      <c r="A13">
        <v>12</v>
      </c>
      <c r="B13" s="2">
        <v>1.1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7"/>
  <sheetViews>
    <sheetView workbookViewId="0"/>
  </sheetViews>
  <sheetFormatPr defaultRowHeight="15"/>
  <cols>
    <col min="1" max="1" width="16.7109375" style="2" customWidth="1"/>
  </cols>
  <sheetData>
    <row r="1" spans="1:3">
      <c r="A1" s="1" t="s">
        <v>48</v>
      </c>
      <c r="C1" t="s">
        <v>49</v>
      </c>
    </row>
    <row r="2" spans="1:3">
      <c r="A2" s="2">
        <v>0.15</v>
      </c>
      <c r="C2">
        <f>I0*INDEX(THRESH_FRAC,1)</f>
        <v>0</v>
      </c>
    </row>
    <row r="3" spans="1:3">
      <c r="A3" s="2">
        <v>0.3</v>
      </c>
      <c r="C3">
        <f>I0*INDEX(THRESH_FRAC,2)</f>
        <v>0</v>
      </c>
    </row>
    <row r="4" spans="1:3">
      <c r="A4" s="2">
        <v>0.45</v>
      </c>
      <c r="C4">
        <f>I0*INDEX(THRESH_FRAC,3)</f>
        <v>0</v>
      </c>
    </row>
    <row r="5" spans="1:3">
      <c r="A5" s="2">
        <v>0.6</v>
      </c>
      <c r="C5">
        <f>I0*INDEX(THRESH_FRAC,4)</f>
        <v>0</v>
      </c>
    </row>
    <row r="6" spans="1:3">
      <c r="A6" s="2">
        <v>0.75</v>
      </c>
      <c r="C6">
        <f>I0*INDEX(THRESH_FRAC,5)</f>
        <v>0</v>
      </c>
    </row>
    <row r="7" spans="1:3">
      <c r="A7" s="2">
        <v>0.9</v>
      </c>
      <c r="C7">
        <f>I0*INDEX(THRESH_FRAC,6)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361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9.7109375" customWidth="1"/>
    <col min="2" max="19" width="14.7109375" customWidth="1"/>
  </cols>
  <sheetData>
    <row r="1" spans="1:19">
      <c r="A1" s="1" t="s">
        <v>50</v>
      </c>
      <c r="B1" t="s">
        <v>51</v>
      </c>
      <c r="C1" t="s">
        <v>52</v>
      </c>
      <c r="D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58</v>
      </c>
      <c r="J1" t="s">
        <v>59</v>
      </c>
      <c r="K1" t="s">
        <v>60</v>
      </c>
      <c r="L1" t="s">
        <v>61</v>
      </c>
      <c r="M1" t="s">
        <v>62</v>
      </c>
      <c r="N1" t="s">
        <v>63</v>
      </c>
      <c r="O1" t="s">
        <v>64</v>
      </c>
      <c r="P1" t="s">
        <v>65</v>
      </c>
      <c r="Q1" t="s">
        <v>66</v>
      </c>
      <c r="R1" t="s">
        <v>67</v>
      </c>
      <c r="S1" t="s">
        <v>68</v>
      </c>
    </row>
    <row r="2" spans="1:19">
      <c r="A2">
        <v>1</v>
      </c>
      <c r="B2">
        <f>TEXT(DATEVALUE(START&amp;"-01")+ (ROW()-2),"yyyy-mm")</f>
        <v>0</v>
      </c>
      <c r="C2">
        <f>INDEX(SEASON_FACTORS,MOD(A2-1,12)+1)</f>
        <v>0</v>
      </c>
      <c r="D2">
        <f>INT((A2-1)/12)</f>
        <v>0</v>
      </c>
      <c r="E2">
        <v>0</v>
      </c>
      <c r="F2">
        <f>(1+STEP)^(C2+D2)</f>
        <v>0</v>
      </c>
      <c r="G2">
        <f>P0_M2 * (1+INF_A)^(A2-1) * (1+PLUS_A)^(A2-1) * E2</f>
        <v>0</v>
      </c>
      <c r="H2">
        <f>F2 / (1+INF_A)^(A2-1)</f>
        <v>0</v>
      </c>
      <c r="I2">
        <f>F2 / PREF</f>
        <v>0</v>
      </c>
      <c r="J2">
        <f>H2 ^ EPS</f>
        <v>0</v>
      </c>
      <c r="K2">
        <f>THETA * B2 * I2</f>
        <v>0</v>
      </c>
      <c r="L2">
        <f>MIN(I0, J2 * CITY_A)</f>
        <v>0</v>
      </c>
      <c r="M2">
        <f>K2 * SIZE_M2</f>
        <v>0</v>
      </c>
      <c r="N2">
        <f>I0 - K2</f>
        <v>0</v>
      </c>
      <c r="O2">
        <f>SIZE_M2 * F2</f>
        <v>0</v>
      </c>
      <c r="P2">
        <f>L2 * F2</f>
        <v>0</v>
      </c>
      <c r="Q2">
        <f>O2 / (1+INF_A)^(A2-1)</f>
        <v>0</v>
      </c>
      <c r="R2">
        <f>K2</f>
        <v>0</v>
      </c>
      <c r="S2">
        <f>INT((A2-1)/12)+1</f>
        <v>0</v>
      </c>
    </row>
    <row r="3" spans="1:19">
      <c r="A3">
        <v>2</v>
      </c>
      <c r="B3">
        <f>TEXT(DATEVALUE(START&amp;"-01")+ (ROW()-2),"yyyy-mm")</f>
        <v>0</v>
      </c>
      <c r="C3">
        <f>INDEX(SEASON_FACTORS,MOD(A3-1,12)+1)</f>
        <v>0</v>
      </c>
      <c r="D3">
        <f>INT((A3-1)/12)</f>
        <v>0</v>
      </c>
      <c r="E3">
        <f>COUNTIF(THRESH_ABS,"&lt;="&amp;Q2)</f>
        <v>0</v>
      </c>
      <c r="F3">
        <f>(1+STEP)^(C3+D3)</f>
        <v>0</v>
      </c>
      <c r="G3">
        <f>P0_M2 * (1+INF_A)^(A3-1) * (1+PLUS_A)^(A3-1) * E3</f>
        <v>0</v>
      </c>
      <c r="H3">
        <f>F3 / (1+INF_A)^(A3-1)</f>
        <v>0</v>
      </c>
      <c r="I3">
        <f>F3 / PREF</f>
        <v>0</v>
      </c>
      <c r="J3">
        <f>H3 ^ EPS</f>
        <v>0</v>
      </c>
      <c r="K3">
        <f>THETA * B3 * I3</f>
        <v>0</v>
      </c>
      <c r="L3">
        <f>MIN(M2, J3 * CITY_A)</f>
        <v>0</v>
      </c>
      <c r="M3">
        <f>K3 * SIZE_M2</f>
        <v>0</v>
      </c>
      <c r="N3">
        <f>M2 - K3</f>
        <v>0</v>
      </c>
      <c r="O3">
        <f>SIZE_M2 * F3</f>
        <v>0</v>
      </c>
      <c r="P3">
        <f>L3 * F3</f>
        <v>0</v>
      </c>
      <c r="Q3">
        <f>O3 / (1+INF_A)^(A3-1)</f>
        <v>0</v>
      </c>
      <c r="R3">
        <f>Q2 + K3</f>
        <v>0</v>
      </c>
      <c r="S3">
        <f>INT((A3-1)/12)+1</f>
        <v>0</v>
      </c>
    </row>
    <row r="4" spans="1:19">
      <c r="A4">
        <v>3</v>
      </c>
      <c r="B4">
        <f>TEXT(DATEVALUE(START&amp;"-01")+ (ROW()-2),"yyyy-mm")</f>
        <v>0</v>
      </c>
      <c r="C4">
        <f>INDEX(SEASON_FACTORS,MOD(A4-1,12)+1)</f>
        <v>0</v>
      </c>
      <c r="D4">
        <f>INT((A4-1)/12)</f>
        <v>0</v>
      </c>
      <c r="E4">
        <f>COUNTIF(THRESH_ABS,"&lt;="&amp;Q3)</f>
        <v>0</v>
      </c>
      <c r="F4">
        <f>(1+STEP)^(C4+D4)</f>
        <v>0</v>
      </c>
      <c r="G4">
        <f>P0_M2 * (1+INF_A)^(A4-1) * (1+PLUS_A)^(A4-1) * E4</f>
        <v>0</v>
      </c>
      <c r="H4">
        <f>F4 / (1+INF_A)^(A4-1)</f>
        <v>0</v>
      </c>
      <c r="I4">
        <f>F4 / PREF</f>
        <v>0</v>
      </c>
      <c r="J4">
        <f>H4 ^ EPS</f>
        <v>0</v>
      </c>
      <c r="K4">
        <f>THETA * B4 * I4</f>
        <v>0</v>
      </c>
      <c r="L4">
        <f>MIN(M3, J4 * CITY_A)</f>
        <v>0</v>
      </c>
      <c r="M4">
        <f>K4 * SIZE_M2</f>
        <v>0</v>
      </c>
      <c r="N4">
        <f>M3 - K4</f>
        <v>0</v>
      </c>
      <c r="O4">
        <f>SIZE_M2 * F4</f>
        <v>0</v>
      </c>
      <c r="P4">
        <f>L4 * F4</f>
        <v>0</v>
      </c>
      <c r="Q4">
        <f>O4 / (1+INF_A)^(A4-1)</f>
        <v>0</v>
      </c>
      <c r="R4">
        <f>Q3 + K4</f>
        <v>0</v>
      </c>
      <c r="S4">
        <f>INT((A4-1)/12)+1</f>
        <v>0</v>
      </c>
    </row>
    <row r="5" spans="1:19">
      <c r="A5">
        <v>4</v>
      </c>
      <c r="B5">
        <f>TEXT(DATEVALUE(START&amp;"-01")+ (ROW()-2),"yyyy-mm")</f>
        <v>0</v>
      </c>
      <c r="C5">
        <f>INDEX(SEASON_FACTORS,MOD(A5-1,12)+1)</f>
        <v>0</v>
      </c>
      <c r="D5">
        <f>INT((A5-1)/12)</f>
        <v>0</v>
      </c>
      <c r="E5">
        <f>COUNTIF(THRESH_ABS,"&lt;="&amp;Q4)</f>
        <v>0</v>
      </c>
      <c r="F5">
        <f>(1+STEP)^(C5+D5)</f>
        <v>0</v>
      </c>
      <c r="G5">
        <f>P0_M2 * (1+INF_A)^(A5-1) * (1+PLUS_A)^(A5-1) * E5</f>
        <v>0</v>
      </c>
      <c r="H5">
        <f>F5 / (1+INF_A)^(A5-1)</f>
        <v>0</v>
      </c>
      <c r="I5">
        <f>F5 / PREF</f>
        <v>0</v>
      </c>
      <c r="J5">
        <f>H5 ^ EPS</f>
        <v>0</v>
      </c>
      <c r="K5">
        <f>THETA * B5 * I5</f>
        <v>0</v>
      </c>
      <c r="L5">
        <f>MIN(M4, J5 * CITY_A)</f>
        <v>0</v>
      </c>
      <c r="M5">
        <f>K5 * SIZE_M2</f>
        <v>0</v>
      </c>
      <c r="N5">
        <f>M4 - K5</f>
        <v>0</v>
      </c>
      <c r="O5">
        <f>SIZE_M2 * F5</f>
        <v>0</v>
      </c>
      <c r="P5">
        <f>L5 * F5</f>
        <v>0</v>
      </c>
      <c r="Q5">
        <f>O5 / (1+INF_A)^(A5-1)</f>
        <v>0</v>
      </c>
      <c r="R5">
        <f>Q4 + K5</f>
        <v>0</v>
      </c>
      <c r="S5">
        <f>INT((A5-1)/12)+1</f>
        <v>0</v>
      </c>
    </row>
    <row r="6" spans="1:19">
      <c r="A6">
        <v>5</v>
      </c>
      <c r="B6">
        <f>TEXT(DATEVALUE(START&amp;"-01")+ (ROW()-2),"yyyy-mm")</f>
        <v>0</v>
      </c>
      <c r="C6">
        <f>INDEX(SEASON_FACTORS,MOD(A6-1,12)+1)</f>
        <v>0</v>
      </c>
      <c r="D6">
        <f>INT((A6-1)/12)</f>
        <v>0</v>
      </c>
      <c r="E6">
        <f>COUNTIF(THRESH_ABS,"&lt;="&amp;Q5)</f>
        <v>0</v>
      </c>
      <c r="F6">
        <f>(1+STEP)^(C6+D6)</f>
        <v>0</v>
      </c>
      <c r="G6">
        <f>P0_M2 * (1+INF_A)^(A6-1) * (1+PLUS_A)^(A6-1) * E6</f>
        <v>0</v>
      </c>
      <c r="H6">
        <f>F6 / (1+INF_A)^(A6-1)</f>
        <v>0</v>
      </c>
      <c r="I6">
        <f>F6 / PREF</f>
        <v>0</v>
      </c>
      <c r="J6">
        <f>H6 ^ EPS</f>
        <v>0</v>
      </c>
      <c r="K6">
        <f>THETA * B6 * I6</f>
        <v>0</v>
      </c>
      <c r="L6">
        <f>MIN(M5, J6 * CITY_A)</f>
        <v>0</v>
      </c>
      <c r="M6">
        <f>K6 * SIZE_M2</f>
        <v>0</v>
      </c>
      <c r="N6">
        <f>M5 - K6</f>
        <v>0</v>
      </c>
      <c r="O6">
        <f>SIZE_M2 * F6</f>
        <v>0</v>
      </c>
      <c r="P6">
        <f>L6 * F6</f>
        <v>0</v>
      </c>
      <c r="Q6">
        <f>O6 / (1+INF_A)^(A6-1)</f>
        <v>0</v>
      </c>
      <c r="R6">
        <f>Q5 + K6</f>
        <v>0</v>
      </c>
      <c r="S6">
        <f>INT((A6-1)/12)+1</f>
        <v>0</v>
      </c>
    </row>
    <row r="7" spans="1:19">
      <c r="A7">
        <v>6</v>
      </c>
      <c r="B7">
        <f>TEXT(DATEVALUE(START&amp;"-01")+ (ROW()-2),"yyyy-mm")</f>
        <v>0</v>
      </c>
      <c r="C7">
        <f>INDEX(SEASON_FACTORS,MOD(A7-1,12)+1)</f>
        <v>0</v>
      </c>
      <c r="D7">
        <f>INT((A7-1)/12)</f>
        <v>0</v>
      </c>
      <c r="E7">
        <f>COUNTIF(THRESH_ABS,"&lt;="&amp;Q6)</f>
        <v>0</v>
      </c>
      <c r="F7">
        <f>(1+STEP)^(C7+D7)</f>
        <v>0</v>
      </c>
      <c r="G7">
        <f>P0_M2 * (1+INF_A)^(A7-1) * (1+PLUS_A)^(A7-1) * E7</f>
        <v>0</v>
      </c>
      <c r="H7">
        <f>F7 / (1+INF_A)^(A7-1)</f>
        <v>0</v>
      </c>
      <c r="I7">
        <f>F7 / PREF</f>
        <v>0</v>
      </c>
      <c r="J7">
        <f>H7 ^ EPS</f>
        <v>0</v>
      </c>
      <c r="K7">
        <f>THETA * B7 * I7</f>
        <v>0</v>
      </c>
      <c r="L7">
        <f>MIN(M6, J7 * CITY_A)</f>
        <v>0</v>
      </c>
      <c r="M7">
        <f>K7 * SIZE_M2</f>
        <v>0</v>
      </c>
      <c r="N7">
        <f>M6 - K7</f>
        <v>0</v>
      </c>
      <c r="O7">
        <f>SIZE_M2 * F7</f>
        <v>0</v>
      </c>
      <c r="P7">
        <f>L7 * F7</f>
        <v>0</v>
      </c>
      <c r="Q7">
        <f>O7 / (1+INF_A)^(A7-1)</f>
        <v>0</v>
      </c>
      <c r="R7">
        <f>Q6 + K7</f>
        <v>0</v>
      </c>
      <c r="S7">
        <f>INT((A7-1)/12)+1</f>
        <v>0</v>
      </c>
    </row>
    <row r="8" spans="1:19">
      <c r="A8">
        <v>7</v>
      </c>
      <c r="B8">
        <f>TEXT(DATEVALUE(START&amp;"-01")+ (ROW()-2),"yyyy-mm")</f>
        <v>0</v>
      </c>
      <c r="C8">
        <f>INDEX(SEASON_FACTORS,MOD(A8-1,12)+1)</f>
        <v>0</v>
      </c>
      <c r="D8">
        <f>INT((A8-1)/12)</f>
        <v>0</v>
      </c>
      <c r="E8">
        <f>COUNTIF(THRESH_ABS,"&lt;="&amp;Q7)</f>
        <v>0</v>
      </c>
      <c r="F8">
        <f>(1+STEP)^(C8+D8)</f>
        <v>0</v>
      </c>
      <c r="G8">
        <f>P0_M2 * (1+INF_A)^(A8-1) * (1+PLUS_A)^(A8-1) * E8</f>
        <v>0</v>
      </c>
      <c r="H8">
        <f>F8 / (1+INF_A)^(A8-1)</f>
        <v>0</v>
      </c>
      <c r="I8">
        <f>F8 / PREF</f>
        <v>0</v>
      </c>
      <c r="J8">
        <f>H8 ^ EPS</f>
        <v>0</v>
      </c>
      <c r="K8">
        <f>THETA * B8 * I8</f>
        <v>0</v>
      </c>
      <c r="L8">
        <f>MIN(M7, J8 * CITY_A)</f>
        <v>0</v>
      </c>
      <c r="M8">
        <f>K8 * SIZE_M2</f>
        <v>0</v>
      </c>
      <c r="N8">
        <f>M7 - K8</f>
        <v>0</v>
      </c>
      <c r="O8">
        <f>SIZE_M2 * F8</f>
        <v>0</v>
      </c>
      <c r="P8">
        <f>L8 * F8</f>
        <v>0</v>
      </c>
      <c r="Q8">
        <f>O8 / (1+INF_A)^(A8-1)</f>
        <v>0</v>
      </c>
      <c r="R8">
        <f>Q7 + K8</f>
        <v>0</v>
      </c>
      <c r="S8">
        <f>INT((A8-1)/12)+1</f>
        <v>0</v>
      </c>
    </row>
    <row r="9" spans="1:19">
      <c r="A9">
        <v>8</v>
      </c>
      <c r="B9">
        <f>TEXT(DATEVALUE(START&amp;"-01")+ (ROW()-2),"yyyy-mm")</f>
        <v>0</v>
      </c>
      <c r="C9">
        <f>INDEX(SEASON_FACTORS,MOD(A9-1,12)+1)</f>
        <v>0</v>
      </c>
      <c r="D9">
        <f>INT((A9-1)/12)</f>
        <v>0</v>
      </c>
      <c r="E9">
        <f>COUNTIF(THRESH_ABS,"&lt;="&amp;Q8)</f>
        <v>0</v>
      </c>
      <c r="F9">
        <f>(1+STEP)^(C9+D9)</f>
        <v>0</v>
      </c>
      <c r="G9">
        <f>P0_M2 * (1+INF_A)^(A9-1) * (1+PLUS_A)^(A9-1) * E9</f>
        <v>0</v>
      </c>
      <c r="H9">
        <f>F9 / (1+INF_A)^(A9-1)</f>
        <v>0</v>
      </c>
      <c r="I9">
        <f>F9 / PREF</f>
        <v>0</v>
      </c>
      <c r="J9">
        <f>H9 ^ EPS</f>
        <v>0</v>
      </c>
      <c r="K9">
        <f>THETA * B9 * I9</f>
        <v>0</v>
      </c>
      <c r="L9">
        <f>MIN(M8, J9 * CITY_A)</f>
        <v>0</v>
      </c>
      <c r="M9">
        <f>K9 * SIZE_M2</f>
        <v>0</v>
      </c>
      <c r="N9">
        <f>M8 - K9</f>
        <v>0</v>
      </c>
      <c r="O9">
        <f>SIZE_M2 * F9</f>
        <v>0</v>
      </c>
      <c r="P9">
        <f>L9 * F9</f>
        <v>0</v>
      </c>
      <c r="Q9">
        <f>O9 / (1+INF_A)^(A9-1)</f>
        <v>0</v>
      </c>
      <c r="R9">
        <f>Q8 + K9</f>
        <v>0</v>
      </c>
      <c r="S9">
        <f>INT((A9-1)/12)+1</f>
        <v>0</v>
      </c>
    </row>
    <row r="10" spans="1:19">
      <c r="A10">
        <v>9</v>
      </c>
      <c r="B10">
        <f>TEXT(DATEVALUE(START&amp;"-01")+ (ROW()-2),"yyyy-mm")</f>
        <v>0</v>
      </c>
      <c r="C10">
        <f>INDEX(SEASON_FACTORS,MOD(A10-1,12)+1)</f>
        <v>0</v>
      </c>
      <c r="D10">
        <f>INT((A10-1)/12)</f>
        <v>0</v>
      </c>
      <c r="E10">
        <f>COUNTIF(THRESH_ABS,"&lt;="&amp;Q9)</f>
        <v>0</v>
      </c>
      <c r="F10">
        <f>(1+STEP)^(C10+D10)</f>
        <v>0</v>
      </c>
      <c r="G10">
        <f>P0_M2 * (1+INF_A)^(A10-1) * (1+PLUS_A)^(A10-1) * E10</f>
        <v>0</v>
      </c>
      <c r="H10">
        <f>F10 / (1+INF_A)^(A10-1)</f>
        <v>0</v>
      </c>
      <c r="I10">
        <f>F10 / PREF</f>
        <v>0</v>
      </c>
      <c r="J10">
        <f>H10 ^ EPS</f>
        <v>0</v>
      </c>
      <c r="K10">
        <f>THETA * B10 * I10</f>
        <v>0</v>
      </c>
      <c r="L10">
        <f>MIN(M9, J10 * CITY_A)</f>
        <v>0</v>
      </c>
      <c r="M10">
        <f>K10 * SIZE_M2</f>
        <v>0</v>
      </c>
      <c r="N10">
        <f>M9 - K10</f>
        <v>0</v>
      </c>
      <c r="O10">
        <f>SIZE_M2 * F10</f>
        <v>0</v>
      </c>
      <c r="P10">
        <f>L10 * F10</f>
        <v>0</v>
      </c>
      <c r="Q10">
        <f>O10 / (1+INF_A)^(A10-1)</f>
        <v>0</v>
      </c>
      <c r="R10">
        <f>Q9 + K10</f>
        <v>0</v>
      </c>
      <c r="S10">
        <f>INT((A10-1)/12)+1</f>
        <v>0</v>
      </c>
    </row>
    <row r="11" spans="1:19">
      <c r="A11">
        <v>10</v>
      </c>
      <c r="B11">
        <f>TEXT(DATEVALUE(START&amp;"-01")+ (ROW()-2),"yyyy-mm")</f>
        <v>0</v>
      </c>
      <c r="C11">
        <f>INDEX(SEASON_FACTORS,MOD(A11-1,12)+1)</f>
        <v>0</v>
      </c>
      <c r="D11">
        <f>INT((A11-1)/12)</f>
        <v>0</v>
      </c>
      <c r="E11">
        <f>COUNTIF(THRESH_ABS,"&lt;="&amp;Q10)</f>
        <v>0</v>
      </c>
      <c r="F11">
        <f>(1+STEP)^(C11+D11)</f>
        <v>0</v>
      </c>
      <c r="G11">
        <f>P0_M2 * (1+INF_A)^(A11-1) * (1+PLUS_A)^(A11-1) * E11</f>
        <v>0</v>
      </c>
      <c r="H11">
        <f>F11 / (1+INF_A)^(A11-1)</f>
        <v>0</v>
      </c>
      <c r="I11">
        <f>F11 / PREF</f>
        <v>0</v>
      </c>
      <c r="J11">
        <f>H11 ^ EPS</f>
        <v>0</v>
      </c>
      <c r="K11">
        <f>THETA * B11 * I11</f>
        <v>0</v>
      </c>
      <c r="L11">
        <f>MIN(M10, J11 * CITY_A)</f>
        <v>0</v>
      </c>
      <c r="M11">
        <f>K11 * SIZE_M2</f>
        <v>0</v>
      </c>
      <c r="N11">
        <f>M10 - K11</f>
        <v>0</v>
      </c>
      <c r="O11">
        <f>SIZE_M2 * F11</f>
        <v>0</v>
      </c>
      <c r="P11">
        <f>L11 * F11</f>
        <v>0</v>
      </c>
      <c r="Q11">
        <f>O11 / (1+INF_A)^(A11-1)</f>
        <v>0</v>
      </c>
      <c r="R11">
        <f>Q10 + K11</f>
        <v>0</v>
      </c>
      <c r="S11">
        <f>INT((A11-1)/12)+1</f>
        <v>0</v>
      </c>
    </row>
    <row r="12" spans="1:19">
      <c r="A12">
        <v>11</v>
      </c>
      <c r="B12">
        <f>TEXT(DATEVALUE(START&amp;"-01")+ (ROW()-2),"yyyy-mm")</f>
        <v>0</v>
      </c>
      <c r="C12">
        <f>INDEX(SEASON_FACTORS,MOD(A12-1,12)+1)</f>
        <v>0</v>
      </c>
      <c r="D12">
        <f>INT((A12-1)/12)</f>
        <v>0</v>
      </c>
      <c r="E12">
        <f>COUNTIF(THRESH_ABS,"&lt;="&amp;Q11)</f>
        <v>0</v>
      </c>
      <c r="F12">
        <f>(1+STEP)^(C12+D12)</f>
        <v>0</v>
      </c>
      <c r="G12">
        <f>P0_M2 * (1+INF_A)^(A12-1) * (1+PLUS_A)^(A12-1) * E12</f>
        <v>0</v>
      </c>
      <c r="H12">
        <f>F12 / (1+INF_A)^(A12-1)</f>
        <v>0</v>
      </c>
      <c r="I12">
        <f>F12 / PREF</f>
        <v>0</v>
      </c>
      <c r="J12">
        <f>H12 ^ EPS</f>
        <v>0</v>
      </c>
      <c r="K12">
        <f>THETA * B12 * I12</f>
        <v>0</v>
      </c>
      <c r="L12">
        <f>MIN(M11, J12 * CITY_A)</f>
        <v>0</v>
      </c>
      <c r="M12">
        <f>K12 * SIZE_M2</f>
        <v>0</v>
      </c>
      <c r="N12">
        <f>M11 - K12</f>
        <v>0</v>
      </c>
      <c r="O12">
        <f>SIZE_M2 * F12</f>
        <v>0</v>
      </c>
      <c r="P12">
        <f>L12 * F12</f>
        <v>0</v>
      </c>
      <c r="Q12">
        <f>O12 / (1+INF_A)^(A12-1)</f>
        <v>0</v>
      </c>
      <c r="R12">
        <f>Q11 + K12</f>
        <v>0</v>
      </c>
      <c r="S12">
        <f>INT((A12-1)/12)+1</f>
        <v>0</v>
      </c>
    </row>
    <row r="13" spans="1:19">
      <c r="A13">
        <v>12</v>
      </c>
      <c r="B13">
        <f>TEXT(DATEVALUE(START&amp;"-01")+ (ROW()-2),"yyyy-mm")</f>
        <v>0</v>
      </c>
      <c r="C13">
        <f>INDEX(SEASON_FACTORS,MOD(A13-1,12)+1)</f>
        <v>0</v>
      </c>
      <c r="D13">
        <f>INT((A13-1)/12)</f>
        <v>0</v>
      </c>
      <c r="E13">
        <f>COUNTIF(THRESH_ABS,"&lt;="&amp;Q12)</f>
        <v>0</v>
      </c>
      <c r="F13">
        <f>(1+STEP)^(C13+D13)</f>
        <v>0</v>
      </c>
      <c r="G13">
        <f>P0_M2 * (1+INF_A)^(A13-1) * (1+PLUS_A)^(A13-1) * E13</f>
        <v>0</v>
      </c>
      <c r="H13">
        <f>F13 / (1+INF_A)^(A13-1)</f>
        <v>0</v>
      </c>
      <c r="I13">
        <f>F13 / PREF</f>
        <v>0</v>
      </c>
      <c r="J13">
        <f>H13 ^ EPS</f>
        <v>0</v>
      </c>
      <c r="K13">
        <f>THETA * B13 * I13</f>
        <v>0</v>
      </c>
      <c r="L13">
        <f>MIN(M12, J13 * CITY_A)</f>
        <v>0</v>
      </c>
      <c r="M13">
        <f>K13 * SIZE_M2</f>
        <v>0</v>
      </c>
      <c r="N13">
        <f>M12 - K13</f>
        <v>0</v>
      </c>
      <c r="O13">
        <f>SIZE_M2 * F13</f>
        <v>0</v>
      </c>
      <c r="P13">
        <f>L13 * F13</f>
        <v>0</v>
      </c>
      <c r="Q13">
        <f>O13 / (1+INF_A)^(A13-1)</f>
        <v>0</v>
      </c>
      <c r="R13">
        <f>Q12 + K13</f>
        <v>0</v>
      </c>
      <c r="S13">
        <f>INT((A13-1)/12)+1</f>
        <v>0</v>
      </c>
    </row>
    <row r="14" spans="1:19">
      <c r="A14">
        <v>13</v>
      </c>
      <c r="B14">
        <f>TEXT(DATEVALUE(START&amp;"-01")+ (ROW()-2),"yyyy-mm")</f>
        <v>0</v>
      </c>
      <c r="C14">
        <f>INDEX(SEASON_FACTORS,MOD(A14-1,12)+1)</f>
        <v>0</v>
      </c>
      <c r="D14">
        <f>INT((A14-1)/12)</f>
        <v>0</v>
      </c>
      <c r="E14">
        <f>COUNTIF(THRESH_ABS,"&lt;="&amp;Q13)</f>
        <v>0</v>
      </c>
      <c r="F14">
        <f>(1+STEP)^(C14+D14)</f>
        <v>0</v>
      </c>
      <c r="G14">
        <f>P0_M2 * (1+INF_A)^(A14-1) * (1+PLUS_A)^(A14-1) * E14</f>
        <v>0</v>
      </c>
      <c r="H14">
        <f>F14 / (1+INF_A)^(A14-1)</f>
        <v>0</v>
      </c>
      <c r="I14">
        <f>F14 / PREF</f>
        <v>0</v>
      </c>
      <c r="J14">
        <f>H14 ^ EPS</f>
        <v>0</v>
      </c>
      <c r="K14">
        <f>THETA * B14 * I14</f>
        <v>0</v>
      </c>
      <c r="L14">
        <f>MIN(M13, J14 * CITY_A)</f>
        <v>0</v>
      </c>
      <c r="M14">
        <f>K14 * SIZE_M2</f>
        <v>0</v>
      </c>
      <c r="N14">
        <f>M13 - K14</f>
        <v>0</v>
      </c>
      <c r="O14">
        <f>SIZE_M2 * F14</f>
        <v>0</v>
      </c>
      <c r="P14">
        <f>L14 * F14</f>
        <v>0</v>
      </c>
      <c r="Q14">
        <f>O14 / (1+INF_A)^(A14-1)</f>
        <v>0</v>
      </c>
      <c r="R14">
        <f>Q13 + K14</f>
        <v>0</v>
      </c>
      <c r="S14">
        <f>INT((A14-1)/12)+1</f>
        <v>0</v>
      </c>
    </row>
    <row r="15" spans="1:19">
      <c r="A15">
        <v>14</v>
      </c>
      <c r="B15">
        <f>TEXT(DATEVALUE(START&amp;"-01")+ (ROW()-2),"yyyy-mm")</f>
        <v>0</v>
      </c>
      <c r="C15">
        <f>INDEX(SEASON_FACTORS,MOD(A15-1,12)+1)</f>
        <v>0</v>
      </c>
      <c r="D15">
        <f>INT((A15-1)/12)</f>
        <v>0</v>
      </c>
      <c r="E15">
        <f>COUNTIF(THRESH_ABS,"&lt;="&amp;Q14)</f>
        <v>0</v>
      </c>
      <c r="F15">
        <f>(1+STEP)^(C15+D15)</f>
        <v>0</v>
      </c>
      <c r="G15">
        <f>P0_M2 * (1+INF_A)^(A15-1) * (1+PLUS_A)^(A15-1) * E15</f>
        <v>0</v>
      </c>
      <c r="H15">
        <f>F15 / (1+INF_A)^(A15-1)</f>
        <v>0</v>
      </c>
      <c r="I15">
        <f>F15 / PREF</f>
        <v>0</v>
      </c>
      <c r="J15">
        <f>H15 ^ EPS</f>
        <v>0</v>
      </c>
      <c r="K15">
        <f>THETA * B15 * I15</f>
        <v>0</v>
      </c>
      <c r="L15">
        <f>MIN(M14, J15 * CITY_A)</f>
        <v>0</v>
      </c>
      <c r="M15">
        <f>K15 * SIZE_M2</f>
        <v>0</v>
      </c>
      <c r="N15">
        <f>M14 - K15</f>
        <v>0</v>
      </c>
      <c r="O15">
        <f>SIZE_M2 * F15</f>
        <v>0</v>
      </c>
      <c r="P15">
        <f>L15 * F15</f>
        <v>0</v>
      </c>
      <c r="Q15">
        <f>O15 / (1+INF_A)^(A15-1)</f>
        <v>0</v>
      </c>
      <c r="R15">
        <f>Q14 + K15</f>
        <v>0</v>
      </c>
      <c r="S15">
        <f>INT((A15-1)/12)+1</f>
        <v>0</v>
      </c>
    </row>
    <row r="16" spans="1:19">
      <c r="A16">
        <v>15</v>
      </c>
      <c r="B16">
        <f>TEXT(DATEVALUE(START&amp;"-01")+ (ROW()-2),"yyyy-mm")</f>
        <v>0</v>
      </c>
      <c r="C16">
        <f>INDEX(SEASON_FACTORS,MOD(A16-1,12)+1)</f>
        <v>0</v>
      </c>
      <c r="D16">
        <f>INT((A16-1)/12)</f>
        <v>0</v>
      </c>
      <c r="E16">
        <f>COUNTIF(THRESH_ABS,"&lt;="&amp;Q15)</f>
        <v>0</v>
      </c>
      <c r="F16">
        <f>(1+STEP)^(C16+D16)</f>
        <v>0</v>
      </c>
      <c r="G16">
        <f>P0_M2 * (1+INF_A)^(A16-1) * (1+PLUS_A)^(A16-1) * E16</f>
        <v>0</v>
      </c>
      <c r="H16">
        <f>F16 / (1+INF_A)^(A16-1)</f>
        <v>0</v>
      </c>
      <c r="I16">
        <f>F16 / PREF</f>
        <v>0</v>
      </c>
      <c r="J16">
        <f>H16 ^ EPS</f>
        <v>0</v>
      </c>
      <c r="K16">
        <f>THETA * B16 * I16</f>
        <v>0</v>
      </c>
      <c r="L16">
        <f>MIN(M15, J16 * CITY_A)</f>
        <v>0</v>
      </c>
      <c r="M16">
        <f>K16 * SIZE_M2</f>
        <v>0</v>
      </c>
      <c r="N16">
        <f>M15 - K16</f>
        <v>0</v>
      </c>
      <c r="O16">
        <f>SIZE_M2 * F16</f>
        <v>0</v>
      </c>
      <c r="P16">
        <f>L16 * F16</f>
        <v>0</v>
      </c>
      <c r="Q16">
        <f>O16 / (1+INF_A)^(A16-1)</f>
        <v>0</v>
      </c>
      <c r="R16">
        <f>Q15 + K16</f>
        <v>0</v>
      </c>
      <c r="S16">
        <f>INT((A16-1)/12)+1</f>
        <v>0</v>
      </c>
    </row>
    <row r="17" spans="1:19">
      <c r="A17">
        <v>16</v>
      </c>
      <c r="B17">
        <f>TEXT(DATEVALUE(START&amp;"-01")+ (ROW()-2),"yyyy-mm")</f>
        <v>0</v>
      </c>
      <c r="C17">
        <f>INDEX(SEASON_FACTORS,MOD(A17-1,12)+1)</f>
        <v>0</v>
      </c>
      <c r="D17">
        <f>INT((A17-1)/12)</f>
        <v>0</v>
      </c>
      <c r="E17">
        <f>COUNTIF(THRESH_ABS,"&lt;="&amp;Q16)</f>
        <v>0</v>
      </c>
      <c r="F17">
        <f>(1+STEP)^(C17+D17)</f>
        <v>0</v>
      </c>
      <c r="G17">
        <f>P0_M2 * (1+INF_A)^(A17-1) * (1+PLUS_A)^(A17-1) * E17</f>
        <v>0</v>
      </c>
      <c r="H17">
        <f>F17 / (1+INF_A)^(A17-1)</f>
        <v>0</v>
      </c>
      <c r="I17">
        <f>F17 / PREF</f>
        <v>0</v>
      </c>
      <c r="J17">
        <f>H17 ^ EPS</f>
        <v>0</v>
      </c>
      <c r="K17">
        <f>THETA * B17 * I17</f>
        <v>0</v>
      </c>
      <c r="L17">
        <f>MIN(M16, J17 * CITY_A)</f>
        <v>0</v>
      </c>
      <c r="M17">
        <f>K17 * SIZE_M2</f>
        <v>0</v>
      </c>
      <c r="N17">
        <f>M16 - K17</f>
        <v>0</v>
      </c>
      <c r="O17">
        <f>SIZE_M2 * F17</f>
        <v>0</v>
      </c>
      <c r="P17">
        <f>L17 * F17</f>
        <v>0</v>
      </c>
      <c r="Q17">
        <f>O17 / (1+INF_A)^(A17-1)</f>
        <v>0</v>
      </c>
      <c r="R17">
        <f>Q16 + K17</f>
        <v>0</v>
      </c>
      <c r="S17">
        <f>INT((A17-1)/12)+1</f>
        <v>0</v>
      </c>
    </row>
    <row r="18" spans="1:19">
      <c r="A18">
        <v>17</v>
      </c>
      <c r="B18">
        <f>TEXT(DATEVALUE(START&amp;"-01")+ (ROW()-2),"yyyy-mm")</f>
        <v>0</v>
      </c>
      <c r="C18">
        <f>INDEX(SEASON_FACTORS,MOD(A18-1,12)+1)</f>
        <v>0</v>
      </c>
      <c r="D18">
        <f>INT((A18-1)/12)</f>
        <v>0</v>
      </c>
      <c r="E18">
        <f>COUNTIF(THRESH_ABS,"&lt;="&amp;Q17)</f>
        <v>0</v>
      </c>
      <c r="F18">
        <f>(1+STEP)^(C18+D18)</f>
        <v>0</v>
      </c>
      <c r="G18">
        <f>P0_M2 * (1+INF_A)^(A18-1) * (1+PLUS_A)^(A18-1) * E18</f>
        <v>0</v>
      </c>
      <c r="H18">
        <f>F18 / (1+INF_A)^(A18-1)</f>
        <v>0</v>
      </c>
      <c r="I18">
        <f>F18 / PREF</f>
        <v>0</v>
      </c>
      <c r="J18">
        <f>H18 ^ EPS</f>
        <v>0</v>
      </c>
      <c r="K18">
        <f>THETA * B18 * I18</f>
        <v>0</v>
      </c>
      <c r="L18">
        <f>MIN(M17, J18 * CITY_A)</f>
        <v>0</v>
      </c>
      <c r="M18">
        <f>K18 * SIZE_M2</f>
        <v>0</v>
      </c>
      <c r="N18">
        <f>M17 - K18</f>
        <v>0</v>
      </c>
      <c r="O18">
        <f>SIZE_M2 * F18</f>
        <v>0</v>
      </c>
      <c r="P18">
        <f>L18 * F18</f>
        <v>0</v>
      </c>
      <c r="Q18">
        <f>O18 / (1+INF_A)^(A18-1)</f>
        <v>0</v>
      </c>
      <c r="R18">
        <f>Q17 + K18</f>
        <v>0</v>
      </c>
      <c r="S18">
        <f>INT((A18-1)/12)+1</f>
        <v>0</v>
      </c>
    </row>
    <row r="19" spans="1:19">
      <c r="A19">
        <v>18</v>
      </c>
      <c r="B19">
        <f>TEXT(DATEVALUE(START&amp;"-01")+ (ROW()-2),"yyyy-mm")</f>
        <v>0</v>
      </c>
      <c r="C19">
        <f>INDEX(SEASON_FACTORS,MOD(A19-1,12)+1)</f>
        <v>0</v>
      </c>
      <c r="D19">
        <f>INT((A19-1)/12)</f>
        <v>0</v>
      </c>
      <c r="E19">
        <f>COUNTIF(THRESH_ABS,"&lt;="&amp;Q18)</f>
        <v>0</v>
      </c>
      <c r="F19">
        <f>(1+STEP)^(C19+D19)</f>
        <v>0</v>
      </c>
      <c r="G19">
        <f>P0_M2 * (1+INF_A)^(A19-1) * (1+PLUS_A)^(A19-1) * E19</f>
        <v>0</v>
      </c>
      <c r="H19">
        <f>F19 / (1+INF_A)^(A19-1)</f>
        <v>0</v>
      </c>
      <c r="I19">
        <f>F19 / PREF</f>
        <v>0</v>
      </c>
      <c r="J19">
        <f>H19 ^ EPS</f>
        <v>0</v>
      </c>
      <c r="K19">
        <f>THETA * B19 * I19</f>
        <v>0</v>
      </c>
      <c r="L19">
        <f>MIN(M18, J19 * CITY_A)</f>
        <v>0</v>
      </c>
      <c r="M19">
        <f>K19 * SIZE_M2</f>
        <v>0</v>
      </c>
      <c r="N19">
        <f>M18 - K19</f>
        <v>0</v>
      </c>
      <c r="O19">
        <f>SIZE_M2 * F19</f>
        <v>0</v>
      </c>
      <c r="P19">
        <f>L19 * F19</f>
        <v>0</v>
      </c>
      <c r="Q19">
        <f>O19 / (1+INF_A)^(A19-1)</f>
        <v>0</v>
      </c>
      <c r="R19">
        <f>Q18 + K19</f>
        <v>0</v>
      </c>
      <c r="S19">
        <f>INT((A19-1)/12)+1</f>
        <v>0</v>
      </c>
    </row>
    <row r="20" spans="1:19">
      <c r="A20">
        <v>19</v>
      </c>
      <c r="B20">
        <f>TEXT(DATEVALUE(START&amp;"-01")+ (ROW()-2),"yyyy-mm")</f>
        <v>0</v>
      </c>
      <c r="C20">
        <f>INDEX(SEASON_FACTORS,MOD(A20-1,12)+1)</f>
        <v>0</v>
      </c>
      <c r="D20">
        <f>INT((A20-1)/12)</f>
        <v>0</v>
      </c>
      <c r="E20">
        <f>COUNTIF(THRESH_ABS,"&lt;="&amp;Q19)</f>
        <v>0</v>
      </c>
      <c r="F20">
        <f>(1+STEP)^(C20+D20)</f>
        <v>0</v>
      </c>
      <c r="G20">
        <f>P0_M2 * (1+INF_A)^(A20-1) * (1+PLUS_A)^(A20-1) * E20</f>
        <v>0</v>
      </c>
      <c r="H20">
        <f>F20 / (1+INF_A)^(A20-1)</f>
        <v>0</v>
      </c>
      <c r="I20">
        <f>F20 / PREF</f>
        <v>0</v>
      </c>
      <c r="J20">
        <f>H20 ^ EPS</f>
        <v>0</v>
      </c>
      <c r="K20">
        <f>THETA * B20 * I20</f>
        <v>0</v>
      </c>
      <c r="L20">
        <f>MIN(M19, J20 * CITY_A)</f>
        <v>0</v>
      </c>
      <c r="M20">
        <f>K20 * SIZE_M2</f>
        <v>0</v>
      </c>
      <c r="N20">
        <f>M19 - K20</f>
        <v>0</v>
      </c>
      <c r="O20">
        <f>SIZE_M2 * F20</f>
        <v>0</v>
      </c>
      <c r="P20">
        <f>L20 * F20</f>
        <v>0</v>
      </c>
      <c r="Q20">
        <f>O20 / (1+INF_A)^(A20-1)</f>
        <v>0</v>
      </c>
      <c r="R20">
        <f>Q19 + K20</f>
        <v>0</v>
      </c>
      <c r="S20">
        <f>INT((A20-1)/12)+1</f>
        <v>0</v>
      </c>
    </row>
    <row r="21" spans="1:19">
      <c r="A21">
        <v>20</v>
      </c>
      <c r="B21">
        <f>TEXT(DATEVALUE(START&amp;"-01")+ (ROW()-2),"yyyy-mm")</f>
        <v>0</v>
      </c>
      <c r="C21">
        <f>INDEX(SEASON_FACTORS,MOD(A21-1,12)+1)</f>
        <v>0</v>
      </c>
      <c r="D21">
        <f>INT((A21-1)/12)</f>
        <v>0</v>
      </c>
      <c r="E21">
        <f>COUNTIF(THRESH_ABS,"&lt;="&amp;Q20)</f>
        <v>0</v>
      </c>
      <c r="F21">
        <f>(1+STEP)^(C21+D21)</f>
        <v>0</v>
      </c>
      <c r="G21">
        <f>P0_M2 * (1+INF_A)^(A21-1) * (1+PLUS_A)^(A21-1) * E21</f>
        <v>0</v>
      </c>
      <c r="H21">
        <f>F21 / (1+INF_A)^(A21-1)</f>
        <v>0</v>
      </c>
      <c r="I21">
        <f>F21 / PREF</f>
        <v>0</v>
      </c>
      <c r="J21">
        <f>H21 ^ EPS</f>
        <v>0</v>
      </c>
      <c r="K21">
        <f>THETA * B21 * I21</f>
        <v>0</v>
      </c>
      <c r="L21">
        <f>MIN(M20, J21 * CITY_A)</f>
        <v>0</v>
      </c>
      <c r="M21">
        <f>K21 * SIZE_M2</f>
        <v>0</v>
      </c>
      <c r="N21">
        <f>M20 - K21</f>
        <v>0</v>
      </c>
      <c r="O21">
        <f>SIZE_M2 * F21</f>
        <v>0</v>
      </c>
      <c r="P21">
        <f>L21 * F21</f>
        <v>0</v>
      </c>
      <c r="Q21">
        <f>O21 / (1+INF_A)^(A21-1)</f>
        <v>0</v>
      </c>
      <c r="R21">
        <f>Q20 + K21</f>
        <v>0</v>
      </c>
      <c r="S21">
        <f>INT((A21-1)/12)+1</f>
        <v>0</v>
      </c>
    </row>
    <row r="22" spans="1:19">
      <c r="A22">
        <v>21</v>
      </c>
      <c r="B22">
        <f>TEXT(DATEVALUE(START&amp;"-01")+ (ROW()-2),"yyyy-mm")</f>
        <v>0</v>
      </c>
      <c r="C22">
        <f>INDEX(SEASON_FACTORS,MOD(A22-1,12)+1)</f>
        <v>0</v>
      </c>
      <c r="D22">
        <f>INT((A22-1)/12)</f>
        <v>0</v>
      </c>
      <c r="E22">
        <f>COUNTIF(THRESH_ABS,"&lt;="&amp;Q21)</f>
        <v>0</v>
      </c>
      <c r="F22">
        <f>(1+STEP)^(C22+D22)</f>
        <v>0</v>
      </c>
      <c r="G22">
        <f>P0_M2 * (1+INF_A)^(A22-1) * (1+PLUS_A)^(A22-1) * E22</f>
        <v>0</v>
      </c>
      <c r="H22">
        <f>F22 / (1+INF_A)^(A22-1)</f>
        <v>0</v>
      </c>
      <c r="I22">
        <f>F22 / PREF</f>
        <v>0</v>
      </c>
      <c r="J22">
        <f>H22 ^ EPS</f>
        <v>0</v>
      </c>
      <c r="K22">
        <f>THETA * B22 * I22</f>
        <v>0</v>
      </c>
      <c r="L22">
        <f>MIN(M21, J22 * CITY_A)</f>
        <v>0</v>
      </c>
      <c r="M22">
        <f>K22 * SIZE_M2</f>
        <v>0</v>
      </c>
      <c r="N22">
        <f>M21 - K22</f>
        <v>0</v>
      </c>
      <c r="O22">
        <f>SIZE_M2 * F22</f>
        <v>0</v>
      </c>
      <c r="P22">
        <f>L22 * F22</f>
        <v>0</v>
      </c>
      <c r="Q22">
        <f>O22 / (1+INF_A)^(A22-1)</f>
        <v>0</v>
      </c>
      <c r="R22">
        <f>Q21 + K22</f>
        <v>0</v>
      </c>
      <c r="S22">
        <f>INT((A22-1)/12)+1</f>
        <v>0</v>
      </c>
    </row>
    <row r="23" spans="1:19">
      <c r="A23">
        <v>22</v>
      </c>
      <c r="B23">
        <f>TEXT(DATEVALUE(START&amp;"-01")+ (ROW()-2),"yyyy-mm")</f>
        <v>0</v>
      </c>
      <c r="C23">
        <f>INDEX(SEASON_FACTORS,MOD(A23-1,12)+1)</f>
        <v>0</v>
      </c>
      <c r="D23">
        <f>INT((A23-1)/12)</f>
        <v>0</v>
      </c>
      <c r="E23">
        <f>COUNTIF(THRESH_ABS,"&lt;="&amp;Q22)</f>
        <v>0</v>
      </c>
      <c r="F23">
        <f>(1+STEP)^(C23+D23)</f>
        <v>0</v>
      </c>
      <c r="G23">
        <f>P0_M2 * (1+INF_A)^(A23-1) * (1+PLUS_A)^(A23-1) * E23</f>
        <v>0</v>
      </c>
      <c r="H23">
        <f>F23 / (1+INF_A)^(A23-1)</f>
        <v>0</v>
      </c>
      <c r="I23">
        <f>F23 / PREF</f>
        <v>0</v>
      </c>
      <c r="J23">
        <f>H23 ^ EPS</f>
        <v>0</v>
      </c>
      <c r="K23">
        <f>THETA * B23 * I23</f>
        <v>0</v>
      </c>
      <c r="L23">
        <f>MIN(M22, J23 * CITY_A)</f>
        <v>0</v>
      </c>
      <c r="M23">
        <f>K23 * SIZE_M2</f>
        <v>0</v>
      </c>
      <c r="N23">
        <f>M22 - K23</f>
        <v>0</v>
      </c>
      <c r="O23">
        <f>SIZE_M2 * F23</f>
        <v>0</v>
      </c>
      <c r="P23">
        <f>L23 * F23</f>
        <v>0</v>
      </c>
      <c r="Q23">
        <f>O23 / (1+INF_A)^(A23-1)</f>
        <v>0</v>
      </c>
      <c r="R23">
        <f>Q22 + K23</f>
        <v>0</v>
      </c>
      <c r="S23">
        <f>INT((A23-1)/12)+1</f>
        <v>0</v>
      </c>
    </row>
    <row r="24" spans="1:19">
      <c r="A24">
        <v>23</v>
      </c>
      <c r="B24">
        <f>TEXT(DATEVALUE(START&amp;"-01")+ (ROW()-2),"yyyy-mm")</f>
        <v>0</v>
      </c>
      <c r="C24">
        <f>INDEX(SEASON_FACTORS,MOD(A24-1,12)+1)</f>
        <v>0</v>
      </c>
      <c r="D24">
        <f>INT((A24-1)/12)</f>
        <v>0</v>
      </c>
      <c r="E24">
        <f>COUNTIF(THRESH_ABS,"&lt;="&amp;Q23)</f>
        <v>0</v>
      </c>
      <c r="F24">
        <f>(1+STEP)^(C24+D24)</f>
        <v>0</v>
      </c>
      <c r="G24">
        <f>P0_M2 * (1+INF_A)^(A24-1) * (1+PLUS_A)^(A24-1) * E24</f>
        <v>0</v>
      </c>
      <c r="H24">
        <f>F24 / (1+INF_A)^(A24-1)</f>
        <v>0</v>
      </c>
      <c r="I24">
        <f>F24 / PREF</f>
        <v>0</v>
      </c>
      <c r="J24">
        <f>H24 ^ EPS</f>
        <v>0</v>
      </c>
      <c r="K24">
        <f>THETA * B24 * I24</f>
        <v>0</v>
      </c>
      <c r="L24">
        <f>MIN(M23, J24 * CITY_A)</f>
        <v>0</v>
      </c>
      <c r="M24">
        <f>K24 * SIZE_M2</f>
        <v>0</v>
      </c>
      <c r="N24">
        <f>M23 - K24</f>
        <v>0</v>
      </c>
      <c r="O24">
        <f>SIZE_M2 * F24</f>
        <v>0</v>
      </c>
      <c r="P24">
        <f>L24 * F24</f>
        <v>0</v>
      </c>
      <c r="Q24">
        <f>O24 / (1+INF_A)^(A24-1)</f>
        <v>0</v>
      </c>
      <c r="R24">
        <f>Q23 + K24</f>
        <v>0</v>
      </c>
      <c r="S24">
        <f>INT((A24-1)/12)+1</f>
        <v>0</v>
      </c>
    </row>
    <row r="25" spans="1:19">
      <c r="A25">
        <v>24</v>
      </c>
      <c r="B25">
        <f>TEXT(DATEVALUE(START&amp;"-01")+ (ROW()-2),"yyyy-mm")</f>
        <v>0</v>
      </c>
      <c r="C25">
        <f>INDEX(SEASON_FACTORS,MOD(A25-1,12)+1)</f>
        <v>0</v>
      </c>
      <c r="D25">
        <f>INT((A25-1)/12)</f>
        <v>0</v>
      </c>
      <c r="E25">
        <f>COUNTIF(THRESH_ABS,"&lt;="&amp;Q24)</f>
        <v>0</v>
      </c>
      <c r="F25">
        <f>(1+STEP)^(C25+D25)</f>
        <v>0</v>
      </c>
      <c r="G25">
        <f>P0_M2 * (1+INF_A)^(A25-1) * (1+PLUS_A)^(A25-1) * E25</f>
        <v>0</v>
      </c>
      <c r="H25">
        <f>F25 / (1+INF_A)^(A25-1)</f>
        <v>0</v>
      </c>
      <c r="I25">
        <f>F25 / PREF</f>
        <v>0</v>
      </c>
      <c r="J25">
        <f>H25 ^ EPS</f>
        <v>0</v>
      </c>
      <c r="K25">
        <f>THETA * B25 * I25</f>
        <v>0</v>
      </c>
      <c r="L25">
        <f>MIN(M24, J25 * CITY_A)</f>
        <v>0</v>
      </c>
      <c r="M25">
        <f>K25 * SIZE_M2</f>
        <v>0</v>
      </c>
      <c r="N25">
        <f>M24 - K25</f>
        <v>0</v>
      </c>
      <c r="O25">
        <f>SIZE_M2 * F25</f>
        <v>0</v>
      </c>
      <c r="P25">
        <f>L25 * F25</f>
        <v>0</v>
      </c>
      <c r="Q25">
        <f>O25 / (1+INF_A)^(A25-1)</f>
        <v>0</v>
      </c>
      <c r="R25">
        <f>Q24 + K25</f>
        <v>0</v>
      </c>
      <c r="S25">
        <f>INT((A25-1)/12)+1</f>
        <v>0</v>
      </c>
    </row>
    <row r="26" spans="1:19">
      <c r="A26">
        <v>25</v>
      </c>
      <c r="B26">
        <f>TEXT(DATEVALUE(START&amp;"-01")+ (ROW()-2),"yyyy-mm")</f>
        <v>0</v>
      </c>
      <c r="C26">
        <f>INDEX(SEASON_FACTORS,MOD(A26-1,12)+1)</f>
        <v>0</v>
      </c>
      <c r="D26">
        <f>INT((A26-1)/12)</f>
        <v>0</v>
      </c>
      <c r="E26">
        <f>COUNTIF(THRESH_ABS,"&lt;="&amp;Q25)</f>
        <v>0</v>
      </c>
      <c r="F26">
        <f>(1+STEP)^(C26+D26)</f>
        <v>0</v>
      </c>
      <c r="G26">
        <f>P0_M2 * (1+INF_A)^(A26-1) * (1+PLUS_A)^(A26-1) * E26</f>
        <v>0</v>
      </c>
      <c r="H26">
        <f>F26 / (1+INF_A)^(A26-1)</f>
        <v>0</v>
      </c>
      <c r="I26">
        <f>F26 / PREF</f>
        <v>0</v>
      </c>
      <c r="J26">
        <f>H26 ^ EPS</f>
        <v>0</v>
      </c>
      <c r="K26">
        <f>THETA * B26 * I26</f>
        <v>0</v>
      </c>
      <c r="L26">
        <f>MIN(M25, J26 * CITY_A)</f>
        <v>0</v>
      </c>
      <c r="M26">
        <f>K26 * SIZE_M2</f>
        <v>0</v>
      </c>
      <c r="N26">
        <f>M25 - K26</f>
        <v>0</v>
      </c>
      <c r="O26">
        <f>SIZE_M2 * F26</f>
        <v>0</v>
      </c>
      <c r="P26">
        <f>L26 * F26</f>
        <v>0</v>
      </c>
      <c r="Q26">
        <f>O26 / (1+INF_A)^(A26-1)</f>
        <v>0</v>
      </c>
      <c r="R26">
        <f>Q25 + K26</f>
        <v>0</v>
      </c>
      <c r="S26">
        <f>INT((A26-1)/12)+1</f>
        <v>0</v>
      </c>
    </row>
    <row r="27" spans="1:19">
      <c r="A27">
        <v>26</v>
      </c>
      <c r="B27">
        <f>TEXT(DATEVALUE(START&amp;"-01")+ (ROW()-2),"yyyy-mm")</f>
        <v>0</v>
      </c>
      <c r="C27">
        <f>INDEX(SEASON_FACTORS,MOD(A27-1,12)+1)</f>
        <v>0</v>
      </c>
      <c r="D27">
        <f>INT((A27-1)/12)</f>
        <v>0</v>
      </c>
      <c r="E27">
        <f>COUNTIF(THRESH_ABS,"&lt;="&amp;Q26)</f>
        <v>0</v>
      </c>
      <c r="F27">
        <f>(1+STEP)^(C27+D27)</f>
        <v>0</v>
      </c>
      <c r="G27">
        <f>P0_M2 * (1+INF_A)^(A27-1) * (1+PLUS_A)^(A27-1) * E27</f>
        <v>0</v>
      </c>
      <c r="H27">
        <f>F27 / (1+INF_A)^(A27-1)</f>
        <v>0</v>
      </c>
      <c r="I27">
        <f>F27 / PREF</f>
        <v>0</v>
      </c>
      <c r="J27">
        <f>H27 ^ EPS</f>
        <v>0</v>
      </c>
      <c r="K27">
        <f>THETA * B27 * I27</f>
        <v>0</v>
      </c>
      <c r="L27">
        <f>MIN(M26, J27 * CITY_A)</f>
        <v>0</v>
      </c>
      <c r="M27">
        <f>K27 * SIZE_M2</f>
        <v>0</v>
      </c>
      <c r="N27">
        <f>M26 - K27</f>
        <v>0</v>
      </c>
      <c r="O27">
        <f>SIZE_M2 * F27</f>
        <v>0</v>
      </c>
      <c r="P27">
        <f>L27 * F27</f>
        <v>0</v>
      </c>
      <c r="Q27">
        <f>O27 / (1+INF_A)^(A27-1)</f>
        <v>0</v>
      </c>
      <c r="R27">
        <f>Q26 + K27</f>
        <v>0</v>
      </c>
      <c r="S27">
        <f>INT((A27-1)/12)+1</f>
        <v>0</v>
      </c>
    </row>
    <row r="28" spans="1:19">
      <c r="A28">
        <v>27</v>
      </c>
      <c r="B28">
        <f>TEXT(DATEVALUE(START&amp;"-01")+ (ROW()-2),"yyyy-mm")</f>
        <v>0</v>
      </c>
      <c r="C28">
        <f>INDEX(SEASON_FACTORS,MOD(A28-1,12)+1)</f>
        <v>0</v>
      </c>
      <c r="D28">
        <f>INT((A28-1)/12)</f>
        <v>0</v>
      </c>
      <c r="E28">
        <f>COUNTIF(THRESH_ABS,"&lt;="&amp;Q27)</f>
        <v>0</v>
      </c>
      <c r="F28">
        <f>(1+STEP)^(C28+D28)</f>
        <v>0</v>
      </c>
      <c r="G28">
        <f>P0_M2 * (1+INF_A)^(A28-1) * (1+PLUS_A)^(A28-1) * E28</f>
        <v>0</v>
      </c>
      <c r="H28">
        <f>F28 / (1+INF_A)^(A28-1)</f>
        <v>0</v>
      </c>
      <c r="I28">
        <f>F28 / PREF</f>
        <v>0</v>
      </c>
      <c r="J28">
        <f>H28 ^ EPS</f>
        <v>0</v>
      </c>
      <c r="K28">
        <f>THETA * B28 * I28</f>
        <v>0</v>
      </c>
      <c r="L28">
        <f>MIN(M27, J28 * CITY_A)</f>
        <v>0</v>
      </c>
      <c r="M28">
        <f>K28 * SIZE_M2</f>
        <v>0</v>
      </c>
      <c r="N28">
        <f>M27 - K28</f>
        <v>0</v>
      </c>
      <c r="O28">
        <f>SIZE_M2 * F28</f>
        <v>0</v>
      </c>
      <c r="P28">
        <f>L28 * F28</f>
        <v>0</v>
      </c>
      <c r="Q28">
        <f>O28 / (1+INF_A)^(A28-1)</f>
        <v>0</v>
      </c>
      <c r="R28">
        <f>Q27 + K28</f>
        <v>0</v>
      </c>
      <c r="S28">
        <f>INT((A28-1)/12)+1</f>
        <v>0</v>
      </c>
    </row>
    <row r="29" spans="1:19">
      <c r="A29">
        <v>28</v>
      </c>
      <c r="B29">
        <f>TEXT(DATEVALUE(START&amp;"-01")+ (ROW()-2),"yyyy-mm")</f>
        <v>0</v>
      </c>
      <c r="C29">
        <f>INDEX(SEASON_FACTORS,MOD(A29-1,12)+1)</f>
        <v>0</v>
      </c>
      <c r="D29">
        <f>INT((A29-1)/12)</f>
        <v>0</v>
      </c>
      <c r="E29">
        <f>COUNTIF(THRESH_ABS,"&lt;="&amp;Q28)</f>
        <v>0</v>
      </c>
      <c r="F29">
        <f>(1+STEP)^(C29+D29)</f>
        <v>0</v>
      </c>
      <c r="G29">
        <f>P0_M2 * (1+INF_A)^(A29-1) * (1+PLUS_A)^(A29-1) * E29</f>
        <v>0</v>
      </c>
      <c r="H29">
        <f>F29 / (1+INF_A)^(A29-1)</f>
        <v>0</v>
      </c>
      <c r="I29">
        <f>F29 / PREF</f>
        <v>0</v>
      </c>
      <c r="J29">
        <f>H29 ^ EPS</f>
        <v>0</v>
      </c>
      <c r="K29">
        <f>THETA * B29 * I29</f>
        <v>0</v>
      </c>
      <c r="L29">
        <f>MIN(M28, J29 * CITY_A)</f>
        <v>0</v>
      </c>
      <c r="M29">
        <f>K29 * SIZE_M2</f>
        <v>0</v>
      </c>
      <c r="N29">
        <f>M28 - K29</f>
        <v>0</v>
      </c>
      <c r="O29">
        <f>SIZE_M2 * F29</f>
        <v>0</v>
      </c>
      <c r="P29">
        <f>L29 * F29</f>
        <v>0</v>
      </c>
      <c r="Q29">
        <f>O29 / (1+INF_A)^(A29-1)</f>
        <v>0</v>
      </c>
      <c r="R29">
        <f>Q28 + K29</f>
        <v>0</v>
      </c>
      <c r="S29">
        <f>INT((A29-1)/12)+1</f>
        <v>0</v>
      </c>
    </row>
    <row r="30" spans="1:19">
      <c r="A30">
        <v>29</v>
      </c>
      <c r="B30">
        <f>TEXT(DATEVALUE(START&amp;"-01")+ (ROW()-2),"yyyy-mm")</f>
        <v>0</v>
      </c>
      <c r="C30">
        <f>INDEX(SEASON_FACTORS,MOD(A30-1,12)+1)</f>
        <v>0</v>
      </c>
      <c r="D30">
        <f>INT((A30-1)/12)</f>
        <v>0</v>
      </c>
      <c r="E30">
        <f>COUNTIF(THRESH_ABS,"&lt;="&amp;Q29)</f>
        <v>0</v>
      </c>
      <c r="F30">
        <f>(1+STEP)^(C30+D30)</f>
        <v>0</v>
      </c>
      <c r="G30">
        <f>P0_M2 * (1+INF_A)^(A30-1) * (1+PLUS_A)^(A30-1) * E30</f>
        <v>0</v>
      </c>
      <c r="H30">
        <f>F30 / (1+INF_A)^(A30-1)</f>
        <v>0</v>
      </c>
      <c r="I30">
        <f>F30 / PREF</f>
        <v>0</v>
      </c>
      <c r="J30">
        <f>H30 ^ EPS</f>
        <v>0</v>
      </c>
      <c r="K30">
        <f>THETA * B30 * I30</f>
        <v>0</v>
      </c>
      <c r="L30">
        <f>MIN(M29, J30 * CITY_A)</f>
        <v>0</v>
      </c>
      <c r="M30">
        <f>K30 * SIZE_M2</f>
        <v>0</v>
      </c>
      <c r="N30">
        <f>M29 - K30</f>
        <v>0</v>
      </c>
      <c r="O30">
        <f>SIZE_M2 * F30</f>
        <v>0</v>
      </c>
      <c r="P30">
        <f>L30 * F30</f>
        <v>0</v>
      </c>
      <c r="Q30">
        <f>O30 / (1+INF_A)^(A30-1)</f>
        <v>0</v>
      </c>
      <c r="R30">
        <f>Q29 + K30</f>
        <v>0</v>
      </c>
      <c r="S30">
        <f>INT((A30-1)/12)+1</f>
        <v>0</v>
      </c>
    </row>
    <row r="31" spans="1:19">
      <c r="A31">
        <v>30</v>
      </c>
      <c r="B31">
        <f>TEXT(DATEVALUE(START&amp;"-01")+ (ROW()-2),"yyyy-mm")</f>
        <v>0</v>
      </c>
      <c r="C31">
        <f>INDEX(SEASON_FACTORS,MOD(A31-1,12)+1)</f>
        <v>0</v>
      </c>
      <c r="D31">
        <f>INT((A31-1)/12)</f>
        <v>0</v>
      </c>
      <c r="E31">
        <f>COUNTIF(THRESH_ABS,"&lt;="&amp;Q30)</f>
        <v>0</v>
      </c>
      <c r="F31">
        <f>(1+STEP)^(C31+D31)</f>
        <v>0</v>
      </c>
      <c r="G31">
        <f>P0_M2 * (1+INF_A)^(A31-1) * (1+PLUS_A)^(A31-1) * E31</f>
        <v>0</v>
      </c>
      <c r="H31">
        <f>F31 / (1+INF_A)^(A31-1)</f>
        <v>0</v>
      </c>
      <c r="I31">
        <f>F31 / PREF</f>
        <v>0</v>
      </c>
      <c r="J31">
        <f>H31 ^ EPS</f>
        <v>0</v>
      </c>
      <c r="K31">
        <f>THETA * B31 * I31</f>
        <v>0</v>
      </c>
      <c r="L31">
        <f>MIN(M30, J31 * CITY_A)</f>
        <v>0</v>
      </c>
      <c r="M31">
        <f>K31 * SIZE_M2</f>
        <v>0</v>
      </c>
      <c r="N31">
        <f>M30 - K31</f>
        <v>0</v>
      </c>
      <c r="O31">
        <f>SIZE_M2 * F31</f>
        <v>0</v>
      </c>
      <c r="P31">
        <f>L31 * F31</f>
        <v>0</v>
      </c>
      <c r="Q31">
        <f>O31 / (1+INF_A)^(A31-1)</f>
        <v>0</v>
      </c>
      <c r="R31">
        <f>Q30 + K31</f>
        <v>0</v>
      </c>
      <c r="S31">
        <f>INT((A31-1)/12)+1</f>
        <v>0</v>
      </c>
    </row>
    <row r="32" spans="1:19">
      <c r="A32">
        <v>31</v>
      </c>
      <c r="B32">
        <f>TEXT(DATEVALUE(START&amp;"-01")+ (ROW()-2),"yyyy-mm")</f>
        <v>0</v>
      </c>
      <c r="C32">
        <f>INDEX(SEASON_FACTORS,MOD(A32-1,12)+1)</f>
        <v>0</v>
      </c>
      <c r="D32">
        <f>INT((A32-1)/12)</f>
        <v>0</v>
      </c>
      <c r="E32">
        <f>COUNTIF(THRESH_ABS,"&lt;="&amp;Q31)</f>
        <v>0</v>
      </c>
      <c r="F32">
        <f>(1+STEP)^(C32+D32)</f>
        <v>0</v>
      </c>
      <c r="G32">
        <f>P0_M2 * (1+INF_A)^(A32-1) * (1+PLUS_A)^(A32-1) * E32</f>
        <v>0</v>
      </c>
      <c r="H32">
        <f>F32 / (1+INF_A)^(A32-1)</f>
        <v>0</v>
      </c>
      <c r="I32">
        <f>F32 / PREF</f>
        <v>0</v>
      </c>
      <c r="J32">
        <f>H32 ^ EPS</f>
        <v>0</v>
      </c>
      <c r="K32">
        <f>THETA * B32 * I32</f>
        <v>0</v>
      </c>
      <c r="L32">
        <f>MIN(M31, J32 * CITY_A)</f>
        <v>0</v>
      </c>
      <c r="M32">
        <f>K32 * SIZE_M2</f>
        <v>0</v>
      </c>
      <c r="N32">
        <f>M31 - K32</f>
        <v>0</v>
      </c>
      <c r="O32">
        <f>SIZE_M2 * F32</f>
        <v>0</v>
      </c>
      <c r="P32">
        <f>L32 * F32</f>
        <v>0</v>
      </c>
      <c r="Q32">
        <f>O32 / (1+INF_A)^(A32-1)</f>
        <v>0</v>
      </c>
      <c r="R32">
        <f>Q31 + K32</f>
        <v>0</v>
      </c>
      <c r="S32">
        <f>INT((A32-1)/12)+1</f>
        <v>0</v>
      </c>
    </row>
    <row r="33" spans="1:19">
      <c r="A33">
        <v>32</v>
      </c>
      <c r="B33">
        <f>TEXT(DATEVALUE(START&amp;"-01")+ (ROW()-2),"yyyy-mm")</f>
        <v>0</v>
      </c>
      <c r="C33">
        <f>INDEX(SEASON_FACTORS,MOD(A33-1,12)+1)</f>
        <v>0</v>
      </c>
      <c r="D33">
        <f>INT((A33-1)/12)</f>
        <v>0</v>
      </c>
      <c r="E33">
        <f>COUNTIF(THRESH_ABS,"&lt;="&amp;Q32)</f>
        <v>0</v>
      </c>
      <c r="F33">
        <f>(1+STEP)^(C33+D33)</f>
        <v>0</v>
      </c>
      <c r="G33">
        <f>P0_M2 * (1+INF_A)^(A33-1) * (1+PLUS_A)^(A33-1) * E33</f>
        <v>0</v>
      </c>
      <c r="H33">
        <f>F33 / (1+INF_A)^(A33-1)</f>
        <v>0</v>
      </c>
      <c r="I33">
        <f>F33 / PREF</f>
        <v>0</v>
      </c>
      <c r="J33">
        <f>H33 ^ EPS</f>
        <v>0</v>
      </c>
      <c r="K33">
        <f>THETA * B33 * I33</f>
        <v>0</v>
      </c>
      <c r="L33">
        <f>MIN(M32, J33 * CITY_A)</f>
        <v>0</v>
      </c>
      <c r="M33">
        <f>K33 * SIZE_M2</f>
        <v>0</v>
      </c>
      <c r="N33">
        <f>M32 - K33</f>
        <v>0</v>
      </c>
      <c r="O33">
        <f>SIZE_M2 * F33</f>
        <v>0</v>
      </c>
      <c r="P33">
        <f>L33 * F33</f>
        <v>0</v>
      </c>
      <c r="Q33">
        <f>O33 / (1+INF_A)^(A33-1)</f>
        <v>0</v>
      </c>
      <c r="R33">
        <f>Q32 + K33</f>
        <v>0</v>
      </c>
      <c r="S33">
        <f>INT((A33-1)/12)+1</f>
        <v>0</v>
      </c>
    </row>
    <row r="34" spans="1:19">
      <c r="A34">
        <v>33</v>
      </c>
      <c r="B34">
        <f>TEXT(DATEVALUE(START&amp;"-01")+ (ROW()-2),"yyyy-mm")</f>
        <v>0</v>
      </c>
      <c r="C34">
        <f>INDEX(SEASON_FACTORS,MOD(A34-1,12)+1)</f>
        <v>0</v>
      </c>
      <c r="D34">
        <f>INT((A34-1)/12)</f>
        <v>0</v>
      </c>
      <c r="E34">
        <f>COUNTIF(THRESH_ABS,"&lt;="&amp;Q33)</f>
        <v>0</v>
      </c>
      <c r="F34">
        <f>(1+STEP)^(C34+D34)</f>
        <v>0</v>
      </c>
      <c r="G34">
        <f>P0_M2 * (1+INF_A)^(A34-1) * (1+PLUS_A)^(A34-1) * E34</f>
        <v>0</v>
      </c>
      <c r="H34">
        <f>F34 / (1+INF_A)^(A34-1)</f>
        <v>0</v>
      </c>
      <c r="I34">
        <f>F34 / PREF</f>
        <v>0</v>
      </c>
      <c r="J34">
        <f>H34 ^ EPS</f>
        <v>0</v>
      </c>
      <c r="K34">
        <f>THETA * B34 * I34</f>
        <v>0</v>
      </c>
      <c r="L34">
        <f>MIN(M33, J34 * CITY_A)</f>
        <v>0</v>
      </c>
      <c r="M34">
        <f>K34 * SIZE_M2</f>
        <v>0</v>
      </c>
      <c r="N34">
        <f>M33 - K34</f>
        <v>0</v>
      </c>
      <c r="O34">
        <f>SIZE_M2 * F34</f>
        <v>0</v>
      </c>
      <c r="P34">
        <f>L34 * F34</f>
        <v>0</v>
      </c>
      <c r="Q34">
        <f>O34 / (1+INF_A)^(A34-1)</f>
        <v>0</v>
      </c>
      <c r="R34">
        <f>Q33 + K34</f>
        <v>0</v>
      </c>
      <c r="S34">
        <f>INT((A34-1)/12)+1</f>
        <v>0</v>
      </c>
    </row>
    <row r="35" spans="1:19">
      <c r="A35">
        <v>34</v>
      </c>
      <c r="B35">
        <f>TEXT(DATEVALUE(START&amp;"-01")+ (ROW()-2),"yyyy-mm")</f>
        <v>0</v>
      </c>
      <c r="C35">
        <f>INDEX(SEASON_FACTORS,MOD(A35-1,12)+1)</f>
        <v>0</v>
      </c>
      <c r="D35">
        <f>INT((A35-1)/12)</f>
        <v>0</v>
      </c>
      <c r="E35">
        <f>COUNTIF(THRESH_ABS,"&lt;="&amp;Q34)</f>
        <v>0</v>
      </c>
      <c r="F35">
        <f>(1+STEP)^(C35+D35)</f>
        <v>0</v>
      </c>
      <c r="G35">
        <f>P0_M2 * (1+INF_A)^(A35-1) * (1+PLUS_A)^(A35-1) * E35</f>
        <v>0</v>
      </c>
      <c r="H35">
        <f>F35 / (1+INF_A)^(A35-1)</f>
        <v>0</v>
      </c>
      <c r="I35">
        <f>F35 / PREF</f>
        <v>0</v>
      </c>
      <c r="J35">
        <f>H35 ^ EPS</f>
        <v>0</v>
      </c>
      <c r="K35">
        <f>THETA * B35 * I35</f>
        <v>0</v>
      </c>
      <c r="L35">
        <f>MIN(M34, J35 * CITY_A)</f>
        <v>0</v>
      </c>
      <c r="M35">
        <f>K35 * SIZE_M2</f>
        <v>0</v>
      </c>
      <c r="N35">
        <f>M34 - K35</f>
        <v>0</v>
      </c>
      <c r="O35">
        <f>SIZE_M2 * F35</f>
        <v>0</v>
      </c>
      <c r="P35">
        <f>L35 * F35</f>
        <v>0</v>
      </c>
      <c r="Q35">
        <f>O35 / (1+INF_A)^(A35-1)</f>
        <v>0</v>
      </c>
      <c r="R35">
        <f>Q34 + K35</f>
        <v>0</v>
      </c>
      <c r="S35">
        <f>INT((A35-1)/12)+1</f>
        <v>0</v>
      </c>
    </row>
    <row r="36" spans="1:19">
      <c r="A36">
        <v>35</v>
      </c>
      <c r="B36">
        <f>TEXT(DATEVALUE(START&amp;"-01")+ (ROW()-2),"yyyy-mm")</f>
        <v>0</v>
      </c>
      <c r="C36">
        <f>INDEX(SEASON_FACTORS,MOD(A36-1,12)+1)</f>
        <v>0</v>
      </c>
      <c r="D36">
        <f>INT((A36-1)/12)</f>
        <v>0</v>
      </c>
      <c r="E36">
        <f>COUNTIF(THRESH_ABS,"&lt;="&amp;Q35)</f>
        <v>0</v>
      </c>
      <c r="F36">
        <f>(1+STEP)^(C36+D36)</f>
        <v>0</v>
      </c>
      <c r="G36">
        <f>P0_M2 * (1+INF_A)^(A36-1) * (1+PLUS_A)^(A36-1) * E36</f>
        <v>0</v>
      </c>
      <c r="H36">
        <f>F36 / (1+INF_A)^(A36-1)</f>
        <v>0</v>
      </c>
      <c r="I36">
        <f>F36 / PREF</f>
        <v>0</v>
      </c>
      <c r="J36">
        <f>H36 ^ EPS</f>
        <v>0</v>
      </c>
      <c r="K36">
        <f>THETA * B36 * I36</f>
        <v>0</v>
      </c>
      <c r="L36">
        <f>MIN(M35, J36 * CITY_A)</f>
        <v>0</v>
      </c>
      <c r="M36">
        <f>K36 * SIZE_M2</f>
        <v>0</v>
      </c>
      <c r="N36">
        <f>M35 - K36</f>
        <v>0</v>
      </c>
      <c r="O36">
        <f>SIZE_M2 * F36</f>
        <v>0</v>
      </c>
      <c r="P36">
        <f>L36 * F36</f>
        <v>0</v>
      </c>
      <c r="Q36">
        <f>O36 / (1+INF_A)^(A36-1)</f>
        <v>0</v>
      </c>
      <c r="R36">
        <f>Q35 + K36</f>
        <v>0</v>
      </c>
      <c r="S36">
        <f>INT((A36-1)/12)+1</f>
        <v>0</v>
      </c>
    </row>
    <row r="37" spans="1:19">
      <c r="A37">
        <v>36</v>
      </c>
      <c r="B37">
        <f>TEXT(DATEVALUE(START&amp;"-01")+ (ROW()-2),"yyyy-mm")</f>
        <v>0</v>
      </c>
      <c r="C37">
        <f>INDEX(SEASON_FACTORS,MOD(A37-1,12)+1)</f>
        <v>0</v>
      </c>
      <c r="D37">
        <f>INT((A37-1)/12)</f>
        <v>0</v>
      </c>
      <c r="E37">
        <f>COUNTIF(THRESH_ABS,"&lt;="&amp;Q36)</f>
        <v>0</v>
      </c>
      <c r="F37">
        <f>(1+STEP)^(C37+D37)</f>
        <v>0</v>
      </c>
      <c r="G37">
        <f>P0_M2 * (1+INF_A)^(A37-1) * (1+PLUS_A)^(A37-1) * E37</f>
        <v>0</v>
      </c>
      <c r="H37">
        <f>F37 / (1+INF_A)^(A37-1)</f>
        <v>0</v>
      </c>
      <c r="I37">
        <f>F37 / PREF</f>
        <v>0</v>
      </c>
      <c r="J37">
        <f>H37 ^ EPS</f>
        <v>0</v>
      </c>
      <c r="K37">
        <f>THETA * B37 * I37</f>
        <v>0</v>
      </c>
      <c r="L37">
        <f>MIN(M36, J37 * CITY_A)</f>
        <v>0</v>
      </c>
      <c r="M37">
        <f>K37 * SIZE_M2</f>
        <v>0</v>
      </c>
      <c r="N37">
        <f>M36 - K37</f>
        <v>0</v>
      </c>
      <c r="O37">
        <f>SIZE_M2 * F37</f>
        <v>0</v>
      </c>
      <c r="P37">
        <f>L37 * F37</f>
        <v>0</v>
      </c>
      <c r="Q37">
        <f>O37 / (1+INF_A)^(A37-1)</f>
        <v>0</v>
      </c>
      <c r="R37">
        <f>Q36 + K37</f>
        <v>0</v>
      </c>
      <c r="S37">
        <f>INT((A37-1)/12)+1</f>
        <v>0</v>
      </c>
    </row>
    <row r="38" spans="1:19">
      <c r="A38">
        <v>37</v>
      </c>
      <c r="B38">
        <f>TEXT(DATEVALUE(START&amp;"-01")+ (ROW()-2),"yyyy-mm")</f>
        <v>0</v>
      </c>
      <c r="C38">
        <f>INDEX(SEASON_FACTORS,MOD(A38-1,12)+1)</f>
        <v>0</v>
      </c>
      <c r="D38">
        <f>INT((A38-1)/12)</f>
        <v>0</v>
      </c>
      <c r="E38">
        <f>COUNTIF(THRESH_ABS,"&lt;="&amp;Q37)</f>
        <v>0</v>
      </c>
      <c r="F38">
        <f>(1+STEP)^(C38+D38)</f>
        <v>0</v>
      </c>
      <c r="G38">
        <f>P0_M2 * (1+INF_A)^(A38-1) * (1+PLUS_A)^(A38-1) * E38</f>
        <v>0</v>
      </c>
      <c r="H38">
        <f>F38 / (1+INF_A)^(A38-1)</f>
        <v>0</v>
      </c>
      <c r="I38">
        <f>F38 / PREF</f>
        <v>0</v>
      </c>
      <c r="J38">
        <f>H38 ^ EPS</f>
        <v>0</v>
      </c>
      <c r="K38">
        <f>THETA * B38 * I38</f>
        <v>0</v>
      </c>
      <c r="L38">
        <f>MIN(M37, J38 * CITY_A)</f>
        <v>0</v>
      </c>
      <c r="M38">
        <f>K38 * SIZE_M2</f>
        <v>0</v>
      </c>
      <c r="N38">
        <f>M37 - K38</f>
        <v>0</v>
      </c>
      <c r="O38">
        <f>SIZE_M2 * F38</f>
        <v>0</v>
      </c>
      <c r="P38">
        <f>L38 * F38</f>
        <v>0</v>
      </c>
      <c r="Q38">
        <f>O38 / (1+INF_A)^(A38-1)</f>
        <v>0</v>
      </c>
      <c r="R38">
        <f>Q37 + K38</f>
        <v>0</v>
      </c>
      <c r="S38">
        <f>INT((A38-1)/12)+1</f>
        <v>0</v>
      </c>
    </row>
    <row r="39" spans="1:19">
      <c r="A39">
        <v>38</v>
      </c>
      <c r="B39">
        <f>TEXT(DATEVALUE(START&amp;"-01")+ (ROW()-2),"yyyy-mm")</f>
        <v>0</v>
      </c>
      <c r="C39">
        <f>INDEX(SEASON_FACTORS,MOD(A39-1,12)+1)</f>
        <v>0</v>
      </c>
      <c r="D39">
        <f>INT((A39-1)/12)</f>
        <v>0</v>
      </c>
      <c r="E39">
        <f>COUNTIF(THRESH_ABS,"&lt;="&amp;Q38)</f>
        <v>0</v>
      </c>
      <c r="F39">
        <f>(1+STEP)^(C39+D39)</f>
        <v>0</v>
      </c>
      <c r="G39">
        <f>P0_M2 * (1+INF_A)^(A39-1) * (1+PLUS_A)^(A39-1) * E39</f>
        <v>0</v>
      </c>
      <c r="H39">
        <f>F39 / (1+INF_A)^(A39-1)</f>
        <v>0</v>
      </c>
      <c r="I39">
        <f>F39 / PREF</f>
        <v>0</v>
      </c>
      <c r="J39">
        <f>H39 ^ EPS</f>
        <v>0</v>
      </c>
      <c r="K39">
        <f>THETA * B39 * I39</f>
        <v>0</v>
      </c>
      <c r="L39">
        <f>MIN(M38, J39 * CITY_A)</f>
        <v>0</v>
      </c>
      <c r="M39">
        <f>K39 * SIZE_M2</f>
        <v>0</v>
      </c>
      <c r="N39">
        <f>M38 - K39</f>
        <v>0</v>
      </c>
      <c r="O39">
        <f>SIZE_M2 * F39</f>
        <v>0</v>
      </c>
      <c r="P39">
        <f>L39 * F39</f>
        <v>0</v>
      </c>
      <c r="Q39">
        <f>O39 / (1+INF_A)^(A39-1)</f>
        <v>0</v>
      </c>
      <c r="R39">
        <f>Q38 + K39</f>
        <v>0</v>
      </c>
      <c r="S39">
        <f>INT((A39-1)/12)+1</f>
        <v>0</v>
      </c>
    </row>
    <row r="40" spans="1:19">
      <c r="A40">
        <v>39</v>
      </c>
      <c r="B40">
        <f>TEXT(DATEVALUE(START&amp;"-01")+ (ROW()-2),"yyyy-mm")</f>
        <v>0</v>
      </c>
      <c r="C40">
        <f>INDEX(SEASON_FACTORS,MOD(A40-1,12)+1)</f>
        <v>0</v>
      </c>
      <c r="D40">
        <f>INT((A40-1)/12)</f>
        <v>0</v>
      </c>
      <c r="E40">
        <f>COUNTIF(THRESH_ABS,"&lt;="&amp;Q39)</f>
        <v>0</v>
      </c>
      <c r="F40">
        <f>(1+STEP)^(C40+D40)</f>
        <v>0</v>
      </c>
      <c r="G40">
        <f>P0_M2 * (1+INF_A)^(A40-1) * (1+PLUS_A)^(A40-1) * E40</f>
        <v>0</v>
      </c>
      <c r="H40">
        <f>F40 / (1+INF_A)^(A40-1)</f>
        <v>0</v>
      </c>
      <c r="I40">
        <f>F40 / PREF</f>
        <v>0</v>
      </c>
      <c r="J40">
        <f>H40 ^ EPS</f>
        <v>0</v>
      </c>
      <c r="K40">
        <f>THETA * B40 * I40</f>
        <v>0</v>
      </c>
      <c r="L40">
        <f>MIN(M39, J40 * CITY_A)</f>
        <v>0</v>
      </c>
      <c r="M40">
        <f>K40 * SIZE_M2</f>
        <v>0</v>
      </c>
      <c r="N40">
        <f>M39 - K40</f>
        <v>0</v>
      </c>
      <c r="O40">
        <f>SIZE_M2 * F40</f>
        <v>0</v>
      </c>
      <c r="P40">
        <f>L40 * F40</f>
        <v>0</v>
      </c>
      <c r="Q40">
        <f>O40 / (1+INF_A)^(A40-1)</f>
        <v>0</v>
      </c>
      <c r="R40">
        <f>Q39 + K40</f>
        <v>0</v>
      </c>
      <c r="S40">
        <f>INT((A40-1)/12)+1</f>
        <v>0</v>
      </c>
    </row>
    <row r="41" spans="1:19">
      <c r="A41">
        <v>40</v>
      </c>
      <c r="B41">
        <f>TEXT(DATEVALUE(START&amp;"-01")+ (ROW()-2),"yyyy-mm")</f>
        <v>0</v>
      </c>
      <c r="C41">
        <f>INDEX(SEASON_FACTORS,MOD(A41-1,12)+1)</f>
        <v>0</v>
      </c>
      <c r="D41">
        <f>INT((A41-1)/12)</f>
        <v>0</v>
      </c>
      <c r="E41">
        <f>COUNTIF(THRESH_ABS,"&lt;="&amp;Q40)</f>
        <v>0</v>
      </c>
      <c r="F41">
        <f>(1+STEP)^(C41+D41)</f>
        <v>0</v>
      </c>
      <c r="G41">
        <f>P0_M2 * (1+INF_A)^(A41-1) * (1+PLUS_A)^(A41-1) * E41</f>
        <v>0</v>
      </c>
      <c r="H41">
        <f>F41 / (1+INF_A)^(A41-1)</f>
        <v>0</v>
      </c>
      <c r="I41">
        <f>F41 / PREF</f>
        <v>0</v>
      </c>
      <c r="J41">
        <f>H41 ^ EPS</f>
        <v>0</v>
      </c>
      <c r="K41">
        <f>THETA * B41 * I41</f>
        <v>0</v>
      </c>
      <c r="L41">
        <f>MIN(M40, J41 * CITY_A)</f>
        <v>0</v>
      </c>
      <c r="M41">
        <f>K41 * SIZE_M2</f>
        <v>0</v>
      </c>
      <c r="N41">
        <f>M40 - K41</f>
        <v>0</v>
      </c>
      <c r="O41">
        <f>SIZE_M2 * F41</f>
        <v>0</v>
      </c>
      <c r="P41">
        <f>L41 * F41</f>
        <v>0</v>
      </c>
      <c r="Q41">
        <f>O41 / (1+INF_A)^(A41-1)</f>
        <v>0</v>
      </c>
      <c r="R41">
        <f>Q40 + K41</f>
        <v>0</v>
      </c>
      <c r="S41">
        <f>INT((A41-1)/12)+1</f>
        <v>0</v>
      </c>
    </row>
    <row r="42" spans="1:19">
      <c r="A42">
        <v>41</v>
      </c>
      <c r="B42">
        <f>TEXT(DATEVALUE(START&amp;"-01")+ (ROW()-2),"yyyy-mm")</f>
        <v>0</v>
      </c>
      <c r="C42">
        <f>INDEX(SEASON_FACTORS,MOD(A42-1,12)+1)</f>
        <v>0</v>
      </c>
      <c r="D42">
        <f>INT((A42-1)/12)</f>
        <v>0</v>
      </c>
      <c r="E42">
        <f>COUNTIF(THRESH_ABS,"&lt;="&amp;Q41)</f>
        <v>0</v>
      </c>
      <c r="F42">
        <f>(1+STEP)^(C42+D42)</f>
        <v>0</v>
      </c>
      <c r="G42">
        <f>P0_M2 * (1+INF_A)^(A42-1) * (1+PLUS_A)^(A42-1) * E42</f>
        <v>0</v>
      </c>
      <c r="H42">
        <f>F42 / (1+INF_A)^(A42-1)</f>
        <v>0</v>
      </c>
      <c r="I42">
        <f>F42 / PREF</f>
        <v>0</v>
      </c>
      <c r="J42">
        <f>H42 ^ EPS</f>
        <v>0</v>
      </c>
      <c r="K42">
        <f>THETA * B42 * I42</f>
        <v>0</v>
      </c>
      <c r="L42">
        <f>MIN(M41, J42 * CITY_A)</f>
        <v>0</v>
      </c>
      <c r="M42">
        <f>K42 * SIZE_M2</f>
        <v>0</v>
      </c>
      <c r="N42">
        <f>M41 - K42</f>
        <v>0</v>
      </c>
      <c r="O42">
        <f>SIZE_M2 * F42</f>
        <v>0</v>
      </c>
      <c r="P42">
        <f>L42 * F42</f>
        <v>0</v>
      </c>
      <c r="Q42">
        <f>O42 / (1+INF_A)^(A42-1)</f>
        <v>0</v>
      </c>
      <c r="R42">
        <f>Q41 + K42</f>
        <v>0</v>
      </c>
      <c r="S42">
        <f>INT((A42-1)/12)+1</f>
        <v>0</v>
      </c>
    </row>
    <row r="43" spans="1:19">
      <c r="A43">
        <v>42</v>
      </c>
      <c r="B43">
        <f>TEXT(DATEVALUE(START&amp;"-01")+ (ROW()-2),"yyyy-mm")</f>
        <v>0</v>
      </c>
      <c r="C43">
        <f>INDEX(SEASON_FACTORS,MOD(A43-1,12)+1)</f>
        <v>0</v>
      </c>
      <c r="D43">
        <f>INT((A43-1)/12)</f>
        <v>0</v>
      </c>
      <c r="E43">
        <f>COUNTIF(THRESH_ABS,"&lt;="&amp;Q42)</f>
        <v>0</v>
      </c>
      <c r="F43">
        <f>(1+STEP)^(C43+D43)</f>
        <v>0</v>
      </c>
      <c r="G43">
        <f>P0_M2 * (1+INF_A)^(A43-1) * (1+PLUS_A)^(A43-1) * E43</f>
        <v>0</v>
      </c>
      <c r="H43">
        <f>F43 / (1+INF_A)^(A43-1)</f>
        <v>0</v>
      </c>
      <c r="I43">
        <f>F43 / PREF</f>
        <v>0</v>
      </c>
      <c r="J43">
        <f>H43 ^ EPS</f>
        <v>0</v>
      </c>
      <c r="K43">
        <f>THETA * B43 * I43</f>
        <v>0</v>
      </c>
      <c r="L43">
        <f>MIN(M42, J43 * CITY_A)</f>
        <v>0</v>
      </c>
      <c r="M43">
        <f>K43 * SIZE_M2</f>
        <v>0</v>
      </c>
      <c r="N43">
        <f>M42 - K43</f>
        <v>0</v>
      </c>
      <c r="O43">
        <f>SIZE_M2 * F43</f>
        <v>0</v>
      </c>
      <c r="P43">
        <f>L43 * F43</f>
        <v>0</v>
      </c>
      <c r="Q43">
        <f>O43 / (1+INF_A)^(A43-1)</f>
        <v>0</v>
      </c>
      <c r="R43">
        <f>Q42 + K43</f>
        <v>0</v>
      </c>
      <c r="S43">
        <f>INT((A43-1)/12)+1</f>
        <v>0</v>
      </c>
    </row>
    <row r="44" spans="1:19">
      <c r="A44">
        <v>43</v>
      </c>
      <c r="B44">
        <f>TEXT(DATEVALUE(START&amp;"-01")+ (ROW()-2),"yyyy-mm")</f>
        <v>0</v>
      </c>
      <c r="C44">
        <f>INDEX(SEASON_FACTORS,MOD(A44-1,12)+1)</f>
        <v>0</v>
      </c>
      <c r="D44">
        <f>INT((A44-1)/12)</f>
        <v>0</v>
      </c>
      <c r="E44">
        <f>COUNTIF(THRESH_ABS,"&lt;="&amp;Q43)</f>
        <v>0</v>
      </c>
      <c r="F44">
        <f>(1+STEP)^(C44+D44)</f>
        <v>0</v>
      </c>
      <c r="G44">
        <f>P0_M2 * (1+INF_A)^(A44-1) * (1+PLUS_A)^(A44-1) * E44</f>
        <v>0</v>
      </c>
      <c r="H44">
        <f>F44 / (1+INF_A)^(A44-1)</f>
        <v>0</v>
      </c>
      <c r="I44">
        <f>F44 / PREF</f>
        <v>0</v>
      </c>
      <c r="J44">
        <f>H44 ^ EPS</f>
        <v>0</v>
      </c>
      <c r="K44">
        <f>THETA * B44 * I44</f>
        <v>0</v>
      </c>
      <c r="L44">
        <f>MIN(M43, J44 * CITY_A)</f>
        <v>0</v>
      </c>
      <c r="M44">
        <f>K44 * SIZE_M2</f>
        <v>0</v>
      </c>
      <c r="N44">
        <f>M43 - K44</f>
        <v>0</v>
      </c>
      <c r="O44">
        <f>SIZE_M2 * F44</f>
        <v>0</v>
      </c>
      <c r="P44">
        <f>L44 * F44</f>
        <v>0</v>
      </c>
      <c r="Q44">
        <f>O44 / (1+INF_A)^(A44-1)</f>
        <v>0</v>
      </c>
      <c r="R44">
        <f>Q43 + K44</f>
        <v>0</v>
      </c>
      <c r="S44">
        <f>INT((A44-1)/12)+1</f>
        <v>0</v>
      </c>
    </row>
    <row r="45" spans="1:19">
      <c r="A45">
        <v>44</v>
      </c>
      <c r="B45">
        <f>TEXT(DATEVALUE(START&amp;"-01")+ (ROW()-2),"yyyy-mm")</f>
        <v>0</v>
      </c>
      <c r="C45">
        <f>INDEX(SEASON_FACTORS,MOD(A45-1,12)+1)</f>
        <v>0</v>
      </c>
      <c r="D45">
        <f>INT((A45-1)/12)</f>
        <v>0</v>
      </c>
      <c r="E45">
        <f>COUNTIF(THRESH_ABS,"&lt;="&amp;Q44)</f>
        <v>0</v>
      </c>
      <c r="F45">
        <f>(1+STEP)^(C45+D45)</f>
        <v>0</v>
      </c>
      <c r="G45">
        <f>P0_M2 * (1+INF_A)^(A45-1) * (1+PLUS_A)^(A45-1) * E45</f>
        <v>0</v>
      </c>
      <c r="H45">
        <f>F45 / (1+INF_A)^(A45-1)</f>
        <v>0</v>
      </c>
      <c r="I45">
        <f>F45 / PREF</f>
        <v>0</v>
      </c>
      <c r="J45">
        <f>H45 ^ EPS</f>
        <v>0</v>
      </c>
      <c r="K45">
        <f>THETA * B45 * I45</f>
        <v>0</v>
      </c>
      <c r="L45">
        <f>MIN(M44, J45 * CITY_A)</f>
        <v>0</v>
      </c>
      <c r="M45">
        <f>K45 * SIZE_M2</f>
        <v>0</v>
      </c>
      <c r="N45">
        <f>M44 - K45</f>
        <v>0</v>
      </c>
      <c r="O45">
        <f>SIZE_M2 * F45</f>
        <v>0</v>
      </c>
      <c r="P45">
        <f>L45 * F45</f>
        <v>0</v>
      </c>
      <c r="Q45">
        <f>O45 / (1+INF_A)^(A45-1)</f>
        <v>0</v>
      </c>
      <c r="R45">
        <f>Q44 + K45</f>
        <v>0</v>
      </c>
      <c r="S45">
        <f>INT((A45-1)/12)+1</f>
        <v>0</v>
      </c>
    </row>
    <row r="46" spans="1:19">
      <c r="A46">
        <v>45</v>
      </c>
      <c r="B46">
        <f>TEXT(DATEVALUE(START&amp;"-01")+ (ROW()-2),"yyyy-mm")</f>
        <v>0</v>
      </c>
      <c r="C46">
        <f>INDEX(SEASON_FACTORS,MOD(A46-1,12)+1)</f>
        <v>0</v>
      </c>
      <c r="D46">
        <f>INT((A46-1)/12)</f>
        <v>0</v>
      </c>
      <c r="E46">
        <f>COUNTIF(THRESH_ABS,"&lt;="&amp;Q45)</f>
        <v>0</v>
      </c>
      <c r="F46">
        <f>(1+STEP)^(C46+D46)</f>
        <v>0</v>
      </c>
      <c r="G46">
        <f>P0_M2 * (1+INF_A)^(A46-1) * (1+PLUS_A)^(A46-1) * E46</f>
        <v>0</v>
      </c>
      <c r="H46">
        <f>F46 / (1+INF_A)^(A46-1)</f>
        <v>0</v>
      </c>
      <c r="I46">
        <f>F46 / PREF</f>
        <v>0</v>
      </c>
      <c r="J46">
        <f>H46 ^ EPS</f>
        <v>0</v>
      </c>
      <c r="K46">
        <f>THETA * B46 * I46</f>
        <v>0</v>
      </c>
      <c r="L46">
        <f>MIN(M45, J46 * CITY_A)</f>
        <v>0</v>
      </c>
      <c r="M46">
        <f>K46 * SIZE_M2</f>
        <v>0</v>
      </c>
      <c r="N46">
        <f>M45 - K46</f>
        <v>0</v>
      </c>
      <c r="O46">
        <f>SIZE_M2 * F46</f>
        <v>0</v>
      </c>
      <c r="P46">
        <f>L46 * F46</f>
        <v>0</v>
      </c>
      <c r="Q46">
        <f>O46 / (1+INF_A)^(A46-1)</f>
        <v>0</v>
      </c>
      <c r="R46">
        <f>Q45 + K46</f>
        <v>0</v>
      </c>
      <c r="S46">
        <f>INT((A46-1)/12)+1</f>
        <v>0</v>
      </c>
    </row>
    <row r="47" spans="1:19">
      <c r="A47">
        <v>46</v>
      </c>
      <c r="B47">
        <f>TEXT(DATEVALUE(START&amp;"-01")+ (ROW()-2),"yyyy-mm")</f>
        <v>0</v>
      </c>
      <c r="C47">
        <f>INDEX(SEASON_FACTORS,MOD(A47-1,12)+1)</f>
        <v>0</v>
      </c>
      <c r="D47">
        <f>INT((A47-1)/12)</f>
        <v>0</v>
      </c>
      <c r="E47">
        <f>COUNTIF(THRESH_ABS,"&lt;="&amp;Q46)</f>
        <v>0</v>
      </c>
      <c r="F47">
        <f>(1+STEP)^(C47+D47)</f>
        <v>0</v>
      </c>
      <c r="G47">
        <f>P0_M2 * (1+INF_A)^(A47-1) * (1+PLUS_A)^(A47-1) * E47</f>
        <v>0</v>
      </c>
      <c r="H47">
        <f>F47 / (1+INF_A)^(A47-1)</f>
        <v>0</v>
      </c>
      <c r="I47">
        <f>F47 / PREF</f>
        <v>0</v>
      </c>
      <c r="J47">
        <f>H47 ^ EPS</f>
        <v>0</v>
      </c>
      <c r="K47">
        <f>THETA * B47 * I47</f>
        <v>0</v>
      </c>
      <c r="L47">
        <f>MIN(M46, J47 * CITY_A)</f>
        <v>0</v>
      </c>
      <c r="M47">
        <f>K47 * SIZE_M2</f>
        <v>0</v>
      </c>
      <c r="N47">
        <f>M46 - K47</f>
        <v>0</v>
      </c>
      <c r="O47">
        <f>SIZE_M2 * F47</f>
        <v>0</v>
      </c>
      <c r="P47">
        <f>L47 * F47</f>
        <v>0</v>
      </c>
      <c r="Q47">
        <f>O47 / (1+INF_A)^(A47-1)</f>
        <v>0</v>
      </c>
      <c r="R47">
        <f>Q46 + K47</f>
        <v>0</v>
      </c>
      <c r="S47">
        <f>INT((A47-1)/12)+1</f>
        <v>0</v>
      </c>
    </row>
    <row r="48" spans="1:19">
      <c r="A48">
        <v>47</v>
      </c>
      <c r="B48">
        <f>TEXT(DATEVALUE(START&amp;"-01")+ (ROW()-2),"yyyy-mm")</f>
        <v>0</v>
      </c>
      <c r="C48">
        <f>INDEX(SEASON_FACTORS,MOD(A48-1,12)+1)</f>
        <v>0</v>
      </c>
      <c r="D48">
        <f>INT((A48-1)/12)</f>
        <v>0</v>
      </c>
      <c r="E48">
        <f>COUNTIF(THRESH_ABS,"&lt;="&amp;Q47)</f>
        <v>0</v>
      </c>
      <c r="F48">
        <f>(1+STEP)^(C48+D48)</f>
        <v>0</v>
      </c>
      <c r="G48">
        <f>P0_M2 * (1+INF_A)^(A48-1) * (1+PLUS_A)^(A48-1) * E48</f>
        <v>0</v>
      </c>
      <c r="H48">
        <f>F48 / (1+INF_A)^(A48-1)</f>
        <v>0</v>
      </c>
      <c r="I48">
        <f>F48 / PREF</f>
        <v>0</v>
      </c>
      <c r="J48">
        <f>H48 ^ EPS</f>
        <v>0</v>
      </c>
      <c r="K48">
        <f>THETA * B48 * I48</f>
        <v>0</v>
      </c>
      <c r="L48">
        <f>MIN(M47, J48 * CITY_A)</f>
        <v>0</v>
      </c>
      <c r="M48">
        <f>K48 * SIZE_M2</f>
        <v>0</v>
      </c>
      <c r="N48">
        <f>M47 - K48</f>
        <v>0</v>
      </c>
      <c r="O48">
        <f>SIZE_M2 * F48</f>
        <v>0</v>
      </c>
      <c r="P48">
        <f>L48 * F48</f>
        <v>0</v>
      </c>
      <c r="Q48">
        <f>O48 / (1+INF_A)^(A48-1)</f>
        <v>0</v>
      </c>
      <c r="R48">
        <f>Q47 + K48</f>
        <v>0</v>
      </c>
      <c r="S48">
        <f>INT((A48-1)/12)+1</f>
        <v>0</v>
      </c>
    </row>
    <row r="49" spans="1:19">
      <c r="A49">
        <v>48</v>
      </c>
      <c r="B49">
        <f>TEXT(DATEVALUE(START&amp;"-01")+ (ROW()-2),"yyyy-mm")</f>
        <v>0</v>
      </c>
      <c r="C49">
        <f>INDEX(SEASON_FACTORS,MOD(A49-1,12)+1)</f>
        <v>0</v>
      </c>
      <c r="D49">
        <f>INT((A49-1)/12)</f>
        <v>0</v>
      </c>
      <c r="E49">
        <f>COUNTIF(THRESH_ABS,"&lt;="&amp;Q48)</f>
        <v>0</v>
      </c>
      <c r="F49">
        <f>(1+STEP)^(C49+D49)</f>
        <v>0</v>
      </c>
      <c r="G49">
        <f>P0_M2 * (1+INF_A)^(A49-1) * (1+PLUS_A)^(A49-1) * E49</f>
        <v>0</v>
      </c>
      <c r="H49">
        <f>F49 / (1+INF_A)^(A49-1)</f>
        <v>0</v>
      </c>
      <c r="I49">
        <f>F49 / PREF</f>
        <v>0</v>
      </c>
      <c r="J49">
        <f>H49 ^ EPS</f>
        <v>0</v>
      </c>
      <c r="K49">
        <f>THETA * B49 * I49</f>
        <v>0</v>
      </c>
      <c r="L49">
        <f>MIN(M48, J49 * CITY_A)</f>
        <v>0</v>
      </c>
      <c r="M49">
        <f>K49 * SIZE_M2</f>
        <v>0</v>
      </c>
      <c r="N49">
        <f>M48 - K49</f>
        <v>0</v>
      </c>
      <c r="O49">
        <f>SIZE_M2 * F49</f>
        <v>0</v>
      </c>
      <c r="P49">
        <f>L49 * F49</f>
        <v>0</v>
      </c>
      <c r="Q49">
        <f>O49 / (1+INF_A)^(A49-1)</f>
        <v>0</v>
      </c>
      <c r="R49">
        <f>Q48 + K49</f>
        <v>0</v>
      </c>
      <c r="S49">
        <f>INT((A49-1)/12)+1</f>
        <v>0</v>
      </c>
    </row>
    <row r="50" spans="1:19">
      <c r="A50">
        <v>49</v>
      </c>
      <c r="B50">
        <f>TEXT(DATEVALUE(START&amp;"-01")+ (ROW()-2),"yyyy-mm")</f>
        <v>0</v>
      </c>
      <c r="C50">
        <f>INDEX(SEASON_FACTORS,MOD(A50-1,12)+1)</f>
        <v>0</v>
      </c>
      <c r="D50">
        <f>INT((A50-1)/12)</f>
        <v>0</v>
      </c>
      <c r="E50">
        <f>COUNTIF(THRESH_ABS,"&lt;="&amp;Q49)</f>
        <v>0</v>
      </c>
      <c r="F50">
        <f>(1+STEP)^(C50+D50)</f>
        <v>0</v>
      </c>
      <c r="G50">
        <f>P0_M2 * (1+INF_A)^(A50-1) * (1+PLUS_A)^(A50-1) * E50</f>
        <v>0</v>
      </c>
      <c r="H50">
        <f>F50 / (1+INF_A)^(A50-1)</f>
        <v>0</v>
      </c>
      <c r="I50">
        <f>F50 / PREF</f>
        <v>0</v>
      </c>
      <c r="J50">
        <f>H50 ^ EPS</f>
        <v>0</v>
      </c>
      <c r="K50">
        <f>THETA * B50 * I50</f>
        <v>0</v>
      </c>
      <c r="L50">
        <f>MIN(M49, J50 * CITY_A)</f>
        <v>0</v>
      </c>
      <c r="M50">
        <f>K50 * SIZE_M2</f>
        <v>0</v>
      </c>
      <c r="N50">
        <f>M49 - K50</f>
        <v>0</v>
      </c>
      <c r="O50">
        <f>SIZE_M2 * F50</f>
        <v>0</v>
      </c>
      <c r="P50">
        <f>L50 * F50</f>
        <v>0</v>
      </c>
      <c r="Q50">
        <f>O50 / (1+INF_A)^(A50-1)</f>
        <v>0</v>
      </c>
      <c r="R50">
        <f>Q49 + K50</f>
        <v>0</v>
      </c>
      <c r="S50">
        <f>INT((A50-1)/12)+1</f>
        <v>0</v>
      </c>
    </row>
    <row r="51" spans="1:19">
      <c r="A51">
        <v>50</v>
      </c>
      <c r="B51">
        <f>TEXT(DATEVALUE(START&amp;"-01")+ (ROW()-2),"yyyy-mm")</f>
        <v>0</v>
      </c>
      <c r="C51">
        <f>INDEX(SEASON_FACTORS,MOD(A51-1,12)+1)</f>
        <v>0</v>
      </c>
      <c r="D51">
        <f>INT((A51-1)/12)</f>
        <v>0</v>
      </c>
      <c r="E51">
        <f>COUNTIF(THRESH_ABS,"&lt;="&amp;Q50)</f>
        <v>0</v>
      </c>
      <c r="F51">
        <f>(1+STEP)^(C51+D51)</f>
        <v>0</v>
      </c>
      <c r="G51">
        <f>P0_M2 * (1+INF_A)^(A51-1) * (1+PLUS_A)^(A51-1) * E51</f>
        <v>0</v>
      </c>
      <c r="H51">
        <f>F51 / (1+INF_A)^(A51-1)</f>
        <v>0</v>
      </c>
      <c r="I51">
        <f>F51 / PREF</f>
        <v>0</v>
      </c>
      <c r="J51">
        <f>H51 ^ EPS</f>
        <v>0</v>
      </c>
      <c r="K51">
        <f>THETA * B51 * I51</f>
        <v>0</v>
      </c>
      <c r="L51">
        <f>MIN(M50, J51 * CITY_A)</f>
        <v>0</v>
      </c>
      <c r="M51">
        <f>K51 * SIZE_M2</f>
        <v>0</v>
      </c>
      <c r="N51">
        <f>M50 - K51</f>
        <v>0</v>
      </c>
      <c r="O51">
        <f>SIZE_M2 * F51</f>
        <v>0</v>
      </c>
      <c r="P51">
        <f>L51 * F51</f>
        <v>0</v>
      </c>
      <c r="Q51">
        <f>O51 / (1+INF_A)^(A51-1)</f>
        <v>0</v>
      </c>
      <c r="R51">
        <f>Q50 + K51</f>
        <v>0</v>
      </c>
      <c r="S51">
        <f>INT((A51-1)/12)+1</f>
        <v>0</v>
      </c>
    </row>
    <row r="52" spans="1:19">
      <c r="A52">
        <v>51</v>
      </c>
      <c r="B52">
        <f>TEXT(DATEVALUE(START&amp;"-01")+ (ROW()-2),"yyyy-mm")</f>
        <v>0</v>
      </c>
      <c r="C52">
        <f>INDEX(SEASON_FACTORS,MOD(A52-1,12)+1)</f>
        <v>0</v>
      </c>
      <c r="D52">
        <f>INT((A52-1)/12)</f>
        <v>0</v>
      </c>
      <c r="E52">
        <f>COUNTIF(THRESH_ABS,"&lt;="&amp;Q51)</f>
        <v>0</v>
      </c>
      <c r="F52">
        <f>(1+STEP)^(C52+D52)</f>
        <v>0</v>
      </c>
      <c r="G52">
        <f>P0_M2 * (1+INF_A)^(A52-1) * (1+PLUS_A)^(A52-1) * E52</f>
        <v>0</v>
      </c>
      <c r="H52">
        <f>F52 / (1+INF_A)^(A52-1)</f>
        <v>0</v>
      </c>
      <c r="I52">
        <f>F52 / PREF</f>
        <v>0</v>
      </c>
      <c r="J52">
        <f>H52 ^ EPS</f>
        <v>0</v>
      </c>
      <c r="K52">
        <f>THETA * B52 * I52</f>
        <v>0</v>
      </c>
      <c r="L52">
        <f>MIN(M51, J52 * CITY_A)</f>
        <v>0</v>
      </c>
      <c r="M52">
        <f>K52 * SIZE_M2</f>
        <v>0</v>
      </c>
      <c r="N52">
        <f>M51 - K52</f>
        <v>0</v>
      </c>
      <c r="O52">
        <f>SIZE_M2 * F52</f>
        <v>0</v>
      </c>
      <c r="P52">
        <f>L52 * F52</f>
        <v>0</v>
      </c>
      <c r="Q52">
        <f>O52 / (1+INF_A)^(A52-1)</f>
        <v>0</v>
      </c>
      <c r="R52">
        <f>Q51 + K52</f>
        <v>0</v>
      </c>
      <c r="S52">
        <f>INT((A52-1)/12)+1</f>
        <v>0</v>
      </c>
    </row>
    <row r="53" spans="1:19">
      <c r="A53">
        <v>52</v>
      </c>
      <c r="B53">
        <f>TEXT(DATEVALUE(START&amp;"-01")+ (ROW()-2),"yyyy-mm")</f>
        <v>0</v>
      </c>
      <c r="C53">
        <f>INDEX(SEASON_FACTORS,MOD(A53-1,12)+1)</f>
        <v>0</v>
      </c>
      <c r="D53">
        <f>INT((A53-1)/12)</f>
        <v>0</v>
      </c>
      <c r="E53">
        <f>COUNTIF(THRESH_ABS,"&lt;="&amp;Q52)</f>
        <v>0</v>
      </c>
      <c r="F53">
        <f>(1+STEP)^(C53+D53)</f>
        <v>0</v>
      </c>
      <c r="G53">
        <f>P0_M2 * (1+INF_A)^(A53-1) * (1+PLUS_A)^(A53-1) * E53</f>
        <v>0</v>
      </c>
      <c r="H53">
        <f>F53 / (1+INF_A)^(A53-1)</f>
        <v>0</v>
      </c>
      <c r="I53">
        <f>F53 / PREF</f>
        <v>0</v>
      </c>
      <c r="J53">
        <f>H53 ^ EPS</f>
        <v>0</v>
      </c>
      <c r="K53">
        <f>THETA * B53 * I53</f>
        <v>0</v>
      </c>
      <c r="L53">
        <f>MIN(M52, J53 * CITY_A)</f>
        <v>0</v>
      </c>
      <c r="M53">
        <f>K53 * SIZE_M2</f>
        <v>0</v>
      </c>
      <c r="N53">
        <f>M52 - K53</f>
        <v>0</v>
      </c>
      <c r="O53">
        <f>SIZE_M2 * F53</f>
        <v>0</v>
      </c>
      <c r="P53">
        <f>L53 * F53</f>
        <v>0</v>
      </c>
      <c r="Q53">
        <f>O53 / (1+INF_A)^(A53-1)</f>
        <v>0</v>
      </c>
      <c r="R53">
        <f>Q52 + K53</f>
        <v>0</v>
      </c>
      <c r="S53">
        <f>INT((A53-1)/12)+1</f>
        <v>0</v>
      </c>
    </row>
    <row r="54" spans="1:19">
      <c r="A54">
        <v>53</v>
      </c>
      <c r="B54">
        <f>TEXT(DATEVALUE(START&amp;"-01")+ (ROW()-2),"yyyy-mm")</f>
        <v>0</v>
      </c>
      <c r="C54">
        <f>INDEX(SEASON_FACTORS,MOD(A54-1,12)+1)</f>
        <v>0</v>
      </c>
      <c r="D54">
        <f>INT((A54-1)/12)</f>
        <v>0</v>
      </c>
      <c r="E54">
        <f>COUNTIF(THRESH_ABS,"&lt;="&amp;Q53)</f>
        <v>0</v>
      </c>
      <c r="F54">
        <f>(1+STEP)^(C54+D54)</f>
        <v>0</v>
      </c>
      <c r="G54">
        <f>P0_M2 * (1+INF_A)^(A54-1) * (1+PLUS_A)^(A54-1) * E54</f>
        <v>0</v>
      </c>
      <c r="H54">
        <f>F54 / (1+INF_A)^(A54-1)</f>
        <v>0</v>
      </c>
      <c r="I54">
        <f>F54 / PREF</f>
        <v>0</v>
      </c>
      <c r="J54">
        <f>H54 ^ EPS</f>
        <v>0</v>
      </c>
      <c r="K54">
        <f>THETA * B54 * I54</f>
        <v>0</v>
      </c>
      <c r="L54">
        <f>MIN(M53, J54 * CITY_A)</f>
        <v>0</v>
      </c>
      <c r="M54">
        <f>K54 * SIZE_M2</f>
        <v>0</v>
      </c>
      <c r="N54">
        <f>M53 - K54</f>
        <v>0</v>
      </c>
      <c r="O54">
        <f>SIZE_M2 * F54</f>
        <v>0</v>
      </c>
      <c r="P54">
        <f>L54 * F54</f>
        <v>0</v>
      </c>
      <c r="Q54">
        <f>O54 / (1+INF_A)^(A54-1)</f>
        <v>0</v>
      </c>
      <c r="R54">
        <f>Q53 + K54</f>
        <v>0</v>
      </c>
      <c r="S54">
        <f>INT((A54-1)/12)+1</f>
        <v>0</v>
      </c>
    </row>
    <row r="55" spans="1:19">
      <c r="A55">
        <v>54</v>
      </c>
      <c r="B55">
        <f>TEXT(DATEVALUE(START&amp;"-01")+ (ROW()-2),"yyyy-mm")</f>
        <v>0</v>
      </c>
      <c r="C55">
        <f>INDEX(SEASON_FACTORS,MOD(A55-1,12)+1)</f>
        <v>0</v>
      </c>
      <c r="D55">
        <f>INT((A55-1)/12)</f>
        <v>0</v>
      </c>
      <c r="E55">
        <f>COUNTIF(THRESH_ABS,"&lt;="&amp;Q54)</f>
        <v>0</v>
      </c>
      <c r="F55">
        <f>(1+STEP)^(C55+D55)</f>
        <v>0</v>
      </c>
      <c r="G55">
        <f>P0_M2 * (1+INF_A)^(A55-1) * (1+PLUS_A)^(A55-1) * E55</f>
        <v>0</v>
      </c>
      <c r="H55">
        <f>F55 / (1+INF_A)^(A55-1)</f>
        <v>0</v>
      </c>
      <c r="I55">
        <f>F55 / PREF</f>
        <v>0</v>
      </c>
      <c r="J55">
        <f>H55 ^ EPS</f>
        <v>0</v>
      </c>
      <c r="K55">
        <f>THETA * B55 * I55</f>
        <v>0</v>
      </c>
      <c r="L55">
        <f>MIN(M54, J55 * CITY_A)</f>
        <v>0</v>
      </c>
      <c r="M55">
        <f>K55 * SIZE_M2</f>
        <v>0</v>
      </c>
      <c r="N55">
        <f>M54 - K55</f>
        <v>0</v>
      </c>
      <c r="O55">
        <f>SIZE_M2 * F55</f>
        <v>0</v>
      </c>
      <c r="P55">
        <f>L55 * F55</f>
        <v>0</v>
      </c>
      <c r="Q55">
        <f>O55 / (1+INF_A)^(A55-1)</f>
        <v>0</v>
      </c>
      <c r="R55">
        <f>Q54 + K55</f>
        <v>0</v>
      </c>
      <c r="S55">
        <f>INT((A55-1)/12)+1</f>
        <v>0</v>
      </c>
    </row>
    <row r="56" spans="1:19">
      <c r="A56">
        <v>55</v>
      </c>
      <c r="B56">
        <f>TEXT(DATEVALUE(START&amp;"-01")+ (ROW()-2),"yyyy-mm")</f>
        <v>0</v>
      </c>
      <c r="C56">
        <f>INDEX(SEASON_FACTORS,MOD(A56-1,12)+1)</f>
        <v>0</v>
      </c>
      <c r="D56">
        <f>INT((A56-1)/12)</f>
        <v>0</v>
      </c>
      <c r="E56">
        <f>COUNTIF(THRESH_ABS,"&lt;="&amp;Q55)</f>
        <v>0</v>
      </c>
      <c r="F56">
        <f>(1+STEP)^(C56+D56)</f>
        <v>0</v>
      </c>
      <c r="G56">
        <f>P0_M2 * (1+INF_A)^(A56-1) * (1+PLUS_A)^(A56-1) * E56</f>
        <v>0</v>
      </c>
      <c r="H56">
        <f>F56 / (1+INF_A)^(A56-1)</f>
        <v>0</v>
      </c>
      <c r="I56">
        <f>F56 / PREF</f>
        <v>0</v>
      </c>
      <c r="J56">
        <f>H56 ^ EPS</f>
        <v>0</v>
      </c>
      <c r="K56">
        <f>THETA * B56 * I56</f>
        <v>0</v>
      </c>
      <c r="L56">
        <f>MIN(M55, J56 * CITY_A)</f>
        <v>0</v>
      </c>
      <c r="M56">
        <f>K56 * SIZE_M2</f>
        <v>0</v>
      </c>
      <c r="N56">
        <f>M55 - K56</f>
        <v>0</v>
      </c>
      <c r="O56">
        <f>SIZE_M2 * F56</f>
        <v>0</v>
      </c>
      <c r="P56">
        <f>L56 * F56</f>
        <v>0</v>
      </c>
      <c r="Q56">
        <f>O56 / (1+INF_A)^(A56-1)</f>
        <v>0</v>
      </c>
      <c r="R56">
        <f>Q55 + K56</f>
        <v>0</v>
      </c>
      <c r="S56">
        <f>INT((A56-1)/12)+1</f>
        <v>0</v>
      </c>
    </row>
    <row r="57" spans="1:19">
      <c r="A57">
        <v>56</v>
      </c>
      <c r="B57">
        <f>TEXT(DATEVALUE(START&amp;"-01")+ (ROW()-2),"yyyy-mm")</f>
        <v>0</v>
      </c>
      <c r="C57">
        <f>INDEX(SEASON_FACTORS,MOD(A57-1,12)+1)</f>
        <v>0</v>
      </c>
      <c r="D57">
        <f>INT((A57-1)/12)</f>
        <v>0</v>
      </c>
      <c r="E57">
        <f>COUNTIF(THRESH_ABS,"&lt;="&amp;Q56)</f>
        <v>0</v>
      </c>
      <c r="F57">
        <f>(1+STEP)^(C57+D57)</f>
        <v>0</v>
      </c>
      <c r="G57">
        <f>P0_M2 * (1+INF_A)^(A57-1) * (1+PLUS_A)^(A57-1) * E57</f>
        <v>0</v>
      </c>
      <c r="H57">
        <f>F57 / (1+INF_A)^(A57-1)</f>
        <v>0</v>
      </c>
      <c r="I57">
        <f>F57 / PREF</f>
        <v>0</v>
      </c>
      <c r="J57">
        <f>H57 ^ EPS</f>
        <v>0</v>
      </c>
      <c r="K57">
        <f>THETA * B57 * I57</f>
        <v>0</v>
      </c>
      <c r="L57">
        <f>MIN(M56, J57 * CITY_A)</f>
        <v>0</v>
      </c>
      <c r="M57">
        <f>K57 * SIZE_M2</f>
        <v>0</v>
      </c>
      <c r="N57">
        <f>M56 - K57</f>
        <v>0</v>
      </c>
      <c r="O57">
        <f>SIZE_M2 * F57</f>
        <v>0</v>
      </c>
      <c r="P57">
        <f>L57 * F57</f>
        <v>0</v>
      </c>
      <c r="Q57">
        <f>O57 / (1+INF_A)^(A57-1)</f>
        <v>0</v>
      </c>
      <c r="R57">
        <f>Q56 + K57</f>
        <v>0</v>
      </c>
      <c r="S57">
        <f>INT((A57-1)/12)+1</f>
        <v>0</v>
      </c>
    </row>
    <row r="58" spans="1:19">
      <c r="A58">
        <v>57</v>
      </c>
      <c r="B58">
        <f>TEXT(DATEVALUE(START&amp;"-01")+ (ROW()-2),"yyyy-mm")</f>
        <v>0</v>
      </c>
      <c r="C58">
        <f>INDEX(SEASON_FACTORS,MOD(A58-1,12)+1)</f>
        <v>0</v>
      </c>
      <c r="D58">
        <f>INT((A58-1)/12)</f>
        <v>0</v>
      </c>
      <c r="E58">
        <f>COUNTIF(THRESH_ABS,"&lt;="&amp;Q57)</f>
        <v>0</v>
      </c>
      <c r="F58">
        <f>(1+STEP)^(C58+D58)</f>
        <v>0</v>
      </c>
      <c r="G58">
        <f>P0_M2 * (1+INF_A)^(A58-1) * (1+PLUS_A)^(A58-1) * E58</f>
        <v>0</v>
      </c>
      <c r="H58">
        <f>F58 / (1+INF_A)^(A58-1)</f>
        <v>0</v>
      </c>
      <c r="I58">
        <f>F58 / PREF</f>
        <v>0</v>
      </c>
      <c r="J58">
        <f>H58 ^ EPS</f>
        <v>0</v>
      </c>
      <c r="K58">
        <f>THETA * B58 * I58</f>
        <v>0</v>
      </c>
      <c r="L58">
        <f>MIN(M57, J58 * CITY_A)</f>
        <v>0</v>
      </c>
      <c r="M58">
        <f>K58 * SIZE_M2</f>
        <v>0</v>
      </c>
      <c r="N58">
        <f>M57 - K58</f>
        <v>0</v>
      </c>
      <c r="O58">
        <f>SIZE_M2 * F58</f>
        <v>0</v>
      </c>
      <c r="P58">
        <f>L58 * F58</f>
        <v>0</v>
      </c>
      <c r="Q58">
        <f>O58 / (1+INF_A)^(A58-1)</f>
        <v>0</v>
      </c>
      <c r="R58">
        <f>Q57 + K58</f>
        <v>0</v>
      </c>
      <c r="S58">
        <f>INT((A58-1)/12)+1</f>
        <v>0</v>
      </c>
    </row>
    <row r="59" spans="1:19">
      <c r="A59">
        <v>58</v>
      </c>
      <c r="B59">
        <f>TEXT(DATEVALUE(START&amp;"-01")+ (ROW()-2),"yyyy-mm")</f>
        <v>0</v>
      </c>
      <c r="C59">
        <f>INDEX(SEASON_FACTORS,MOD(A59-1,12)+1)</f>
        <v>0</v>
      </c>
      <c r="D59">
        <f>INT((A59-1)/12)</f>
        <v>0</v>
      </c>
      <c r="E59">
        <f>COUNTIF(THRESH_ABS,"&lt;="&amp;Q58)</f>
        <v>0</v>
      </c>
      <c r="F59">
        <f>(1+STEP)^(C59+D59)</f>
        <v>0</v>
      </c>
      <c r="G59">
        <f>P0_M2 * (1+INF_A)^(A59-1) * (1+PLUS_A)^(A59-1) * E59</f>
        <v>0</v>
      </c>
      <c r="H59">
        <f>F59 / (1+INF_A)^(A59-1)</f>
        <v>0</v>
      </c>
      <c r="I59">
        <f>F59 / PREF</f>
        <v>0</v>
      </c>
      <c r="J59">
        <f>H59 ^ EPS</f>
        <v>0</v>
      </c>
      <c r="K59">
        <f>THETA * B59 * I59</f>
        <v>0</v>
      </c>
      <c r="L59">
        <f>MIN(M58, J59 * CITY_A)</f>
        <v>0</v>
      </c>
      <c r="M59">
        <f>K59 * SIZE_M2</f>
        <v>0</v>
      </c>
      <c r="N59">
        <f>M58 - K59</f>
        <v>0</v>
      </c>
      <c r="O59">
        <f>SIZE_M2 * F59</f>
        <v>0</v>
      </c>
      <c r="P59">
        <f>L59 * F59</f>
        <v>0</v>
      </c>
      <c r="Q59">
        <f>O59 / (1+INF_A)^(A59-1)</f>
        <v>0</v>
      </c>
      <c r="R59">
        <f>Q58 + K59</f>
        <v>0</v>
      </c>
      <c r="S59">
        <f>INT((A59-1)/12)+1</f>
        <v>0</v>
      </c>
    </row>
    <row r="60" spans="1:19">
      <c r="A60">
        <v>59</v>
      </c>
      <c r="B60">
        <f>TEXT(DATEVALUE(START&amp;"-01")+ (ROW()-2),"yyyy-mm")</f>
        <v>0</v>
      </c>
      <c r="C60">
        <f>INDEX(SEASON_FACTORS,MOD(A60-1,12)+1)</f>
        <v>0</v>
      </c>
      <c r="D60">
        <f>INT((A60-1)/12)</f>
        <v>0</v>
      </c>
      <c r="E60">
        <f>COUNTIF(THRESH_ABS,"&lt;="&amp;Q59)</f>
        <v>0</v>
      </c>
      <c r="F60">
        <f>(1+STEP)^(C60+D60)</f>
        <v>0</v>
      </c>
      <c r="G60">
        <f>P0_M2 * (1+INF_A)^(A60-1) * (1+PLUS_A)^(A60-1) * E60</f>
        <v>0</v>
      </c>
      <c r="H60">
        <f>F60 / (1+INF_A)^(A60-1)</f>
        <v>0</v>
      </c>
      <c r="I60">
        <f>F60 / PREF</f>
        <v>0</v>
      </c>
      <c r="J60">
        <f>H60 ^ EPS</f>
        <v>0</v>
      </c>
      <c r="K60">
        <f>THETA * B60 * I60</f>
        <v>0</v>
      </c>
      <c r="L60">
        <f>MIN(M59, J60 * CITY_A)</f>
        <v>0</v>
      </c>
      <c r="M60">
        <f>K60 * SIZE_M2</f>
        <v>0</v>
      </c>
      <c r="N60">
        <f>M59 - K60</f>
        <v>0</v>
      </c>
      <c r="O60">
        <f>SIZE_M2 * F60</f>
        <v>0</v>
      </c>
      <c r="P60">
        <f>L60 * F60</f>
        <v>0</v>
      </c>
      <c r="Q60">
        <f>O60 / (1+INF_A)^(A60-1)</f>
        <v>0</v>
      </c>
      <c r="R60">
        <f>Q59 + K60</f>
        <v>0</v>
      </c>
      <c r="S60">
        <f>INT((A60-1)/12)+1</f>
        <v>0</v>
      </c>
    </row>
    <row r="61" spans="1:19">
      <c r="A61">
        <v>60</v>
      </c>
      <c r="B61">
        <f>TEXT(DATEVALUE(START&amp;"-01")+ (ROW()-2),"yyyy-mm")</f>
        <v>0</v>
      </c>
      <c r="C61">
        <f>INDEX(SEASON_FACTORS,MOD(A61-1,12)+1)</f>
        <v>0</v>
      </c>
      <c r="D61">
        <f>INT((A61-1)/12)</f>
        <v>0</v>
      </c>
      <c r="E61">
        <f>COUNTIF(THRESH_ABS,"&lt;="&amp;Q60)</f>
        <v>0</v>
      </c>
      <c r="F61">
        <f>(1+STEP)^(C61+D61)</f>
        <v>0</v>
      </c>
      <c r="G61">
        <f>P0_M2 * (1+INF_A)^(A61-1) * (1+PLUS_A)^(A61-1) * E61</f>
        <v>0</v>
      </c>
      <c r="H61">
        <f>F61 / (1+INF_A)^(A61-1)</f>
        <v>0</v>
      </c>
      <c r="I61">
        <f>F61 / PREF</f>
        <v>0</v>
      </c>
      <c r="J61">
        <f>H61 ^ EPS</f>
        <v>0</v>
      </c>
      <c r="K61">
        <f>THETA * B61 * I61</f>
        <v>0</v>
      </c>
      <c r="L61">
        <f>MIN(M60, J61 * CITY_A)</f>
        <v>0</v>
      </c>
      <c r="M61">
        <f>K61 * SIZE_M2</f>
        <v>0</v>
      </c>
      <c r="N61">
        <f>M60 - K61</f>
        <v>0</v>
      </c>
      <c r="O61">
        <f>SIZE_M2 * F61</f>
        <v>0</v>
      </c>
      <c r="P61">
        <f>L61 * F61</f>
        <v>0</v>
      </c>
      <c r="Q61">
        <f>O61 / (1+INF_A)^(A61-1)</f>
        <v>0</v>
      </c>
      <c r="R61">
        <f>Q60 + K61</f>
        <v>0</v>
      </c>
      <c r="S61">
        <f>INT((A61-1)/12)+1</f>
        <v>0</v>
      </c>
    </row>
    <row r="62" spans="1:19">
      <c r="A62">
        <v>61</v>
      </c>
      <c r="B62">
        <f>TEXT(DATEVALUE(START&amp;"-01")+ (ROW()-2),"yyyy-mm")</f>
        <v>0</v>
      </c>
      <c r="C62">
        <f>INDEX(SEASON_FACTORS,MOD(A62-1,12)+1)</f>
        <v>0</v>
      </c>
      <c r="D62">
        <f>INT((A62-1)/12)</f>
        <v>0</v>
      </c>
      <c r="E62">
        <f>COUNTIF(THRESH_ABS,"&lt;="&amp;Q61)</f>
        <v>0</v>
      </c>
      <c r="F62">
        <f>(1+STEP)^(C62+D62)</f>
        <v>0</v>
      </c>
      <c r="G62">
        <f>P0_M2 * (1+INF_A)^(A62-1) * (1+PLUS_A)^(A62-1) * E62</f>
        <v>0</v>
      </c>
      <c r="H62">
        <f>F62 / (1+INF_A)^(A62-1)</f>
        <v>0</v>
      </c>
      <c r="I62">
        <f>F62 / PREF</f>
        <v>0</v>
      </c>
      <c r="J62">
        <f>H62 ^ EPS</f>
        <v>0</v>
      </c>
      <c r="K62">
        <f>THETA * B62 * I62</f>
        <v>0</v>
      </c>
      <c r="L62">
        <f>MIN(M61, J62 * CITY_A)</f>
        <v>0</v>
      </c>
      <c r="M62">
        <f>K62 * SIZE_M2</f>
        <v>0</v>
      </c>
      <c r="N62">
        <f>M61 - K62</f>
        <v>0</v>
      </c>
      <c r="O62">
        <f>SIZE_M2 * F62</f>
        <v>0</v>
      </c>
      <c r="P62">
        <f>L62 * F62</f>
        <v>0</v>
      </c>
      <c r="Q62">
        <f>O62 / (1+INF_A)^(A62-1)</f>
        <v>0</v>
      </c>
      <c r="R62">
        <f>Q61 + K62</f>
        <v>0</v>
      </c>
      <c r="S62">
        <f>INT((A62-1)/12)+1</f>
        <v>0</v>
      </c>
    </row>
    <row r="63" spans="1:19">
      <c r="A63">
        <v>62</v>
      </c>
      <c r="B63">
        <f>TEXT(DATEVALUE(START&amp;"-01")+ (ROW()-2),"yyyy-mm")</f>
        <v>0</v>
      </c>
      <c r="C63">
        <f>INDEX(SEASON_FACTORS,MOD(A63-1,12)+1)</f>
        <v>0</v>
      </c>
      <c r="D63">
        <f>INT((A63-1)/12)</f>
        <v>0</v>
      </c>
      <c r="E63">
        <f>COUNTIF(THRESH_ABS,"&lt;="&amp;Q62)</f>
        <v>0</v>
      </c>
      <c r="F63">
        <f>(1+STEP)^(C63+D63)</f>
        <v>0</v>
      </c>
      <c r="G63">
        <f>P0_M2 * (1+INF_A)^(A63-1) * (1+PLUS_A)^(A63-1) * E63</f>
        <v>0</v>
      </c>
      <c r="H63">
        <f>F63 / (1+INF_A)^(A63-1)</f>
        <v>0</v>
      </c>
      <c r="I63">
        <f>F63 / PREF</f>
        <v>0</v>
      </c>
      <c r="J63">
        <f>H63 ^ EPS</f>
        <v>0</v>
      </c>
      <c r="K63">
        <f>THETA * B63 * I63</f>
        <v>0</v>
      </c>
      <c r="L63">
        <f>MIN(M62, J63 * CITY_A)</f>
        <v>0</v>
      </c>
      <c r="M63">
        <f>K63 * SIZE_M2</f>
        <v>0</v>
      </c>
      <c r="N63">
        <f>M62 - K63</f>
        <v>0</v>
      </c>
      <c r="O63">
        <f>SIZE_M2 * F63</f>
        <v>0</v>
      </c>
      <c r="P63">
        <f>L63 * F63</f>
        <v>0</v>
      </c>
      <c r="Q63">
        <f>O63 / (1+INF_A)^(A63-1)</f>
        <v>0</v>
      </c>
      <c r="R63">
        <f>Q62 + K63</f>
        <v>0</v>
      </c>
      <c r="S63">
        <f>INT((A63-1)/12)+1</f>
        <v>0</v>
      </c>
    </row>
    <row r="64" spans="1:19">
      <c r="A64">
        <v>63</v>
      </c>
      <c r="B64">
        <f>TEXT(DATEVALUE(START&amp;"-01")+ (ROW()-2),"yyyy-mm")</f>
        <v>0</v>
      </c>
      <c r="C64">
        <f>INDEX(SEASON_FACTORS,MOD(A64-1,12)+1)</f>
        <v>0</v>
      </c>
      <c r="D64">
        <f>INT((A64-1)/12)</f>
        <v>0</v>
      </c>
      <c r="E64">
        <f>COUNTIF(THRESH_ABS,"&lt;="&amp;Q63)</f>
        <v>0</v>
      </c>
      <c r="F64">
        <f>(1+STEP)^(C64+D64)</f>
        <v>0</v>
      </c>
      <c r="G64">
        <f>P0_M2 * (1+INF_A)^(A64-1) * (1+PLUS_A)^(A64-1) * E64</f>
        <v>0</v>
      </c>
      <c r="H64">
        <f>F64 / (1+INF_A)^(A64-1)</f>
        <v>0</v>
      </c>
      <c r="I64">
        <f>F64 / PREF</f>
        <v>0</v>
      </c>
      <c r="J64">
        <f>H64 ^ EPS</f>
        <v>0</v>
      </c>
      <c r="K64">
        <f>THETA * B64 * I64</f>
        <v>0</v>
      </c>
      <c r="L64">
        <f>MIN(M63, J64 * CITY_A)</f>
        <v>0</v>
      </c>
      <c r="M64">
        <f>K64 * SIZE_M2</f>
        <v>0</v>
      </c>
      <c r="N64">
        <f>M63 - K64</f>
        <v>0</v>
      </c>
      <c r="O64">
        <f>SIZE_M2 * F64</f>
        <v>0</v>
      </c>
      <c r="P64">
        <f>L64 * F64</f>
        <v>0</v>
      </c>
      <c r="Q64">
        <f>O64 / (1+INF_A)^(A64-1)</f>
        <v>0</v>
      </c>
      <c r="R64">
        <f>Q63 + K64</f>
        <v>0</v>
      </c>
      <c r="S64">
        <f>INT((A64-1)/12)+1</f>
        <v>0</v>
      </c>
    </row>
    <row r="65" spans="1:19">
      <c r="A65">
        <v>64</v>
      </c>
      <c r="B65">
        <f>TEXT(DATEVALUE(START&amp;"-01")+ (ROW()-2),"yyyy-mm")</f>
        <v>0</v>
      </c>
      <c r="C65">
        <f>INDEX(SEASON_FACTORS,MOD(A65-1,12)+1)</f>
        <v>0</v>
      </c>
      <c r="D65">
        <f>INT((A65-1)/12)</f>
        <v>0</v>
      </c>
      <c r="E65">
        <f>COUNTIF(THRESH_ABS,"&lt;="&amp;Q64)</f>
        <v>0</v>
      </c>
      <c r="F65">
        <f>(1+STEP)^(C65+D65)</f>
        <v>0</v>
      </c>
      <c r="G65">
        <f>P0_M2 * (1+INF_A)^(A65-1) * (1+PLUS_A)^(A65-1) * E65</f>
        <v>0</v>
      </c>
      <c r="H65">
        <f>F65 / (1+INF_A)^(A65-1)</f>
        <v>0</v>
      </c>
      <c r="I65">
        <f>F65 / PREF</f>
        <v>0</v>
      </c>
      <c r="J65">
        <f>H65 ^ EPS</f>
        <v>0</v>
      </c>
      <c r="K65">
        <f>THETA * B65 * I65</f>
        <v>0</v>
      </c>
      <c r="L65">
        <f>MIN(M64, J65 * CITY_A)</f>
        <v>0</v>
      </c>
      <c r="M65">
        <f>K65 * SIZE_M2</f>
        <v>0</v>
      </c>
      <c r="N65">
        <f>M64 - K65</f>
        <v>0</v>
      </c>
      <c r="O65">
        <f>SIZE_M2 * F65</f>
        <v>0</v>
      </c>
      <c r="P65">
        <f>L65 * F65</f>
        <v>0</v>
      </c>
      <c r="Q65">
        <f>O65 / (1+INF_A)^(A65-1)</f>
        <v>0</v>
      </c>
      <c r="R65">
        <f>Q64 + K65</f>
        <v>0</v>
      </c>
      <c r="S65">
        <f>INT((A65-1)/12)+1</f>
        <v>0</v>
      </c>
    </row>
    <row r="66" spans="1:19">
      <c r="A66">
        <v>65</v>
      </c>
      <c r="B66">
        <f>TEXT(DATEVALUE(START&amp;"-01")+ (ROW()-2),"yyyy-mm")</f>
        <v>0</v>
      </c>
      <c r="C66">
        <f>INDEX(SEASON_FACTORS,MOD(A66-1,12)+1)</f>
        <v>0</v>
      </c>
      <c r="D66">
        <f>INT((A66-1)/12)</f>
        <v>0</v>
      </c>
      <c r="E66">
        <f>COUNTIF(THRESH_ABS,"&lt;="&amp;Q65)</f>
        <v>0</v>
      </c>
      <c r="F66">
        <f>(1+STEP)^(C66+D66)</f>
        <v>0</v>
      </c>
      <c r="G66">
        <f>P0_M2 * (1+INF_A)^(A66-1) * (1+PLUS_A)^(A66-1) * E66</f>
        <v>0</v>
      </c>
      <c r="H66">
        <f>F66 / (1+INF_A)^(A66-1)</f>
        <v>0</v>
      </c>
      <c r="I66">
        <f>F66 / PREF</f>
        <v>0</v>
      </c>
      <c r="J66">
        <f>H66 ^ EPS</f>
        <v>0</v>
      </c>
      <c r="K66">
        <f>THETA * B66 * I66</f>
        <v>0</v>
      </c>
      <c r="L66">
        <f>MIN(M65, J66 * CITY_A)</f>
        <v>0</v>
      </c>
      <c r="M66">
        <f>K66 * SIZE_M2</f>
        <v>0</v>
      </c>
      <c r="N66">
        <f>M65 - K66</f>
        <v>0</v>
      </c>
      <c r="O66">
        <f>SIZE_M2 * F66</f>
        <v>0</v>
      </c>
      <c r="P66">
        <f>L66 * F66</f>
        <v>0</v>
      </c>
      <c r="Q66">
        <f>O66 / (1+INF_A)^(A66-1)</f>
        <v>0</v>
      </c>
      <c r="R66">
        <f>Q65 + K66</f>
        <v>0</v>
      </c>
      <c r="S66">
        <f>INT((A66-1)/12)+1</f>
        <v>0</v>
      </c>
    </row>
    <row r="67" spans="1:19">
      <c r="A67">
        <v>66</v>
      </c>
      <c r="B67">
        <f>TEXT(DATEVALUE(START&amp;"-01")+ (ROW()-2),"yyyy-mm")</f>
        <v>0</v>
      </c>
      <c r="C67">
        <f>INDEX(SEASON_FACTORS,MOD(A67-1,12)+1)</f>
        <v>0</v>
      </c>
      <c r="D67">
        <f>INT((A67-1)/12)</f>
        <v>0</v>
      </c>
      <c r="E67">
        <f>COUNTIF(THRESH_ABS,"&lt;="&amp;Q66)</f>
        <v>0</v>
      </c>
      <c r="F67">
        <f>(1+STEP)^(C67+D67)</f>
        <v>0</v>
      </c>
      <c r="G67">
        <f>P0_M2 * (1+INF_A)^(A67-1) * (1+PLUS_A)^(A67-1) * E67</f>
        <v>0</v>
      </c>
      <c r="H67">
        <f>F67 / (1+INF_A)^(A67-1)</f>
        <v>0</v>
      </c>
      <c r="I67">
        <f>F67 / PREF</f>
        <v>0</v>
      </c>
      <c r="J67">
        <f>H67 ^ EPS</f>
        <v>0</v>
      </c>
      <c r="K67">
        <f>THETA * B67 * I67</f>
        <v>0</v>
      </c>
      <c r="L67">
        <f>MIN(M66, J67 * CITY_A)</f>
        <v>0</v>
      </c>
      <c r="M67">
        <f>K67 * SIZE_M2</f>
        <v>0</v>
      </c>
      <c r="N67">
        <f>M66 - K67</f>
        <v>0</v>
      </c>
      <c r="O67">
        <f>SIZE_M2 * F67</f>
        <v>0</v>
      </c>
      <c r="P67">
        <f>L67 * F67</f>
        <v>0</v>
      </c>
      <c r="Q67">
        <f>O67 / (1+INF_A)^(A67-1)</f>
        <v>0</v>
      </c>
      <c r="R67">
        <f>Q66 + K67</f>
        <v>0</v>
      </c>
      <c r="S67">
        <f>INT((A67-1)/12)+1</f>
        <v>0</v>
      </c>
    </row>
    <row r="68" spans="1:19">
      <c r="A68">
        <v>67</v>
      </c>
      <c r="B68">
        <f>TEXT(DATEVALUE(START&amp;"-01")+ (ROW()-2),"yyyy-mm")</f>
        <v>0</v>
      </c>
      <c r="C68">
        <f>INDEX(SEASON_FACTORS,MOD(A68-1,12)+1)</f>
        <v>0</v>
      </c>
      <c r="D68">
        <f>INT((A68-1)/12)</f>
        <v>0</v>
      </c>
      <c r="E68">
        <f>COUNTIF(THRESH_ABS,"&lt;="&amp;Q67)</f>
        <v>0</v>
      </c>
      <c r="F68">
        <f>(1+STEP)^(C68+D68)</f>
        <v>0</v>
      </c>
      <c r="G68">
        <f>P0_M2 * (1+INF_A)^(A68-1) * (1+PLUS_A)^(A68-1) * E68</f>
        <v>0</v>
      </c>
      <c r="H68">
        <f>F68 / (1+INF_A)^(A68-1)</f>
        <v>0</v>
      </c>
      <c r="I68">
        <f>F68 / PREF</f>
        <v>0</v>
      </c>
      <c r="J68">
        <f>H68 ^ EPS</f>
        <v>0</v>
      </c>
      <c r="K68">
        <f>THETA * B68 * I68</f>
        <v>0</v>
      </c>
      <c r="L68">
        <f>MIN(M67, J68 * CITY_A)</f>
        <v>0</v>
      </c>
      <c r="M68">
        <f>K68 * SIZE_M2</f>
        <v>0</v>
      </c>
      <c r="N68">
        <f>M67 - K68</f>
        <v>0</v>
      </c>
      <c r="O68">
        <f>SIZE_M2 * F68</f>
        <v>0</v>
      </c>
      <c r="P68">
        <f>L68 * F68</f>
        <v>0</v>
      </c>
      <c r="Q68">
        <f>O68 / (1+INF_A)^(A68-1)</f>
        <v>0</v>
      </c>
      <c r="R68">
        <f>Q67 + K68</f>
        <v>0</v>
      </c>
      <c r="S68">
        <f>INT((A68-1)/12)+1</f>
        <v>0</v>
      </c>
    </row>
    <row r="69" spans="1:19">
      <c r="A69">
        <v>68</v>
      </c>
      <c r="B69">
        <f>TEXT(DATEVALUE(START&amp;"-01")+ (ROW()-2),"yyyy-mm")</f>
        <v>0</v>
      </c>
      <c r="C69">
        <f>INDEX(SEASON_FACTORS,MOD(A69-1,12)+1)</f>
        <v>0</v>
      </c>
      <c r="D69">
        <f>INT((A69-1)/12)</f>
        <v>0</v>
      </c>
      <c r="E69">
        <f>COUNTIF(THRESH_ABS,"&lt;="&amp;Q68)</f>
        <v>0</v>
      </c>
      <c r="F69">
        <f>(1+STEP)^(C69+D69)</f>
        <v>0</v>
      </c>
      <c r="G69">
        <f>P0_M2 * (1+INF_A)^(A69-1) * (1+PLUS_A)^(A69-1) * E69</f>
        <v>0</v>
      </c>
      <c r="H69">
        <f>F69 / (1+INF_A)^(A69-1)</f>
        <v>0</v>
      </c>
      <c r="I69">
        <f>F69 / PREF</f>
        <v>0</v>
      </c>
      <c r="J69">
        <f>H69 ^ EPS</f>
        <v>0</v>
      </c>
      <c r="K69">
        <f>THETA * B69 * I69</f>
        <v>0</v>
      </c>
      <c r="L69">
        <f>MIN(M68, J69 * CITY_A)</f>
        <v>0</v>
      </c>
      <c r="M69">
        <f>K69 * SIZE_M2</f>
        <v>0</v>
      </c>
      <c r="N69">
        <f>M68 - K69</f>
        <v>0</v>
      </c>
      <c r="O69">
        <f>SIZE_M2 * F69</f>
        <v>0</v>
      </c>
      <c r="P69">
        <f>L69 * F69</f>
        <v>0</v>
      </c>
      <c r="Q69">
        <f>O69 / (1+INF_A)^(A69-1)</f>
        <v>0</v>
      </c>
      <c r="R69">
        <f>Q68 + K69</f>
        <v>0</v>
      </c>
      <c r="S69">
        <f>INT((A69-1)/12)+1</f>
        <v>0</v>
      </c>
    </row>
    <row r="70" spans="1:19">
      <c r="A70">
        <v>69</v>
      </c>
      <c r="B70">
        <f>TEXT(DATEVALUE(START&amp;"-01")+ (ROW()-2),"yyyy-mm")</f>
        <v>0</v>
      </c>
      <c r="C70">
        <f>INDEX(SEASON_FACTORS,MOD(A70-1,12)+1)</f>
        <v>0</v>
      </c>
      <c r="D70">
        <f>INT((A70-1)/12)</f>
        <v>0</v>
      </c>
      <c r="E70">
        <f>COUNTIF(THRESH_ABS,"&lt;="&amp;Q69)</f>
        <v>0</v>
      </c>
      <c r="F70">
        <f>(1+STEP)^(C70+D70)</f>
        <v>0</v>
      </c>
      <c r="G70">
        <f>P0_M2 * (1+INF_A)^(A70-1) * (1+PLUS_A)^(A70-1) * E70</f>
        <v>0</v>
      </c>
      <c r="H70">
        <f>F70 / (1+INF_A)^(A70-1)</f>
        <v>0</v>
      </c>
      <c r="I70">
        <f>F70 / PREF</f>
        <v>0</v>
      </c>
      <c r="J70">
        <f>H70 ^ EPS</f>
        <v>0</v>
      </c>
      <c r="K70">
        <f>THETA * B70 * I70</f>
        <v>0</v>
      </c>
      <c r="L70">
        <f>MIN(M69, J70 * CITY_A)</f>
        <v>0</v>
      </c>
      <c r="M70">
        <f>K70 * SIZE_M2</f>
        <v>0</v>
      </c>
      <c r="N70">
        <f>M69 - K70</f>
        <v>0</v>
      </c>
      <c r="O70">
        <f>SIZE_M2 * F70</f>
        <v>0</v>
      </c>
      <c r="P70">
        <f>L70 * F70</f>
        <v>0</v>
      </c>
      <c r="Q70">
        <f>O70 / (1+INF_A)^(A70-1)</f>
        <v>0</v>
      </c>
      <c r="R70">
        <f>Q69 + K70</f>
        <v>0</v>
      </c>
      <c r="S70">
        <f>INT((A70-1)/12)+1</f>
        <v>0</v>
      </c>
    </row>
    <row r="71" spans="1:19">
      <c r="A71">
        <v>70</v>
      </c>
      <c r="B71">
        <f>TEXT(DATEVALUE(START&amp;"-01")+ (ROW()-2),"yyyy-mm")</f>
        <v>0</v>
      </c>
      <c r="C71">
        <f>INDEX(SEASON_FACTORS,MOD(A71-1,12)+1)</f>
        <v>0</v>
      </c>
      <c r="D71">
        <f>INT((A71-1)/12)</f>
        <v>0</v>
      </c>
      <c r="E71">
        <f>COUNTIF(THRESH_ABS,"&lt;="&amp;Q70)</f>
        <v>0</v>
      </c>
      <c r="F71">
        <f>(1+STEP)^(C71+D71)</f>
        <v>0</v>
      </c>
      <c r="G71">
        <f>P0_M2 * (1+INF_A)^(A71-1) * (1+PLUS_A)^(A71-1) * E71</f>
        <v>0</v>
      </c>
      <c r="H71">
        <f>F71 / (1+INF_A)^(A71-1)</f>
        <v>0</v>
      </c>
      <c r="I71">
        <f>F71 / PREF</f>
        <v>0</v>
      </c>
      <c r="J71">
        <f>H71 ^ EPS</f>
        <v>0</v>
      </c>
      <c r="K71">
        <f>THETA * B71 * I71</f>
        <v>0</v>
      </c>
      <c r="L71">
        <f>MIN(M70, J71 * CITY_A)</f>
        <v>0</v>
      </c>
      <c r="M71">
        <f>K71 * SIZE_M2</f>
        <v>0</v>
      </c>
      <c r="N71">
        <f>M70 - K71</f>
        <v>0</v>
      </c>
      <c r="O71">
        <f>SIZE_M2 * F71</f>
        <v>0</v>
      </c>
      <c r="P71">
        <f>L71 * F71</f>
        <v>0</v>
      </c>
      <c r="Q71">
        <f>O71 / (1+INF_A)^(A71-1)</f>
        <v>0</v>
      </c>
      <c r="R71">
        <f>Q70 + K71</f>
        <v>0</v>
      </c>
      <c r="S71">
        <f>INT((A71-1)/12)+1</f>
        <v>0</v>
      </c>
    </row>
    <row r="72" spans="1:19">
      <c r="A72">
        <v>71</v>
      </c>
      <c r="B72">
        <f>TEXT(DATEVALUE(START&amp;"-01")+ (ROW()-2),"yyyy-mm")</f>
        <v>0</v>
      </c>
      <c r="C72">
        <f>INDEX(SEASON_FACTORS,MOD(A72-1,12)+1)</f>
        <v>0</v>
      </c>
      <c r="D72">
        <f>INT((A72-1)/12)</f>
        <v>0</v>
      </c>
      <c r="E72">
        <f>COUNTIF(THRESH_ABS,"&lt;="&amp;Q71)</f>
        <v>0</v>
      </c>
      <c r="F72">
        <f>(1+STEP)^(C72+D72)</f>
        <v>0</v>
      </c>
      <c r="G72">
        <f>P0_M2 * (1+INF_A)^(A72-1) * (1+PLUS_A)^(A72-1) * E72</f>
        <v>0</v>
      </c>
      <c r="H72">
        <f>F72 / (1+INF_A)^(A72-1)</f>
        <v>0</v>
      </c>
      <c r="I72">
        <f>F72 / PREF</f>
        <v>0</v>
      </c>
      <c r="J72">
        <f>H72 ^ EPS</f>
        <v>0</v>
      </c>
      <c r="K72">
        <f>THETA * B72 * I72</f>
        <v>0</v>
      </c>
      <c r="L72">
        <f>MIN(M71, J72 * CITY_A)</f>
        <v>0</v>
      </c>
      <c r="M72">
        <f>K72 * SIZE_M2</f>
        <v>0</v>
      </c>
      <c r="N72">
        <f>M71 - K72</f>
        <v>0</v>
      </c>
      <c r="O72">
        <f>SIZE_M2 * F72</f>
        <v>0</v>
      </c>
      <c r="P72">
        <f>L72 * F72</f>
        <v>0</v>
      </c>
      <c r="Q72">
        <f>O72 / (1+INF_A)^(A72-1)</f>
        <v>0</v>
      </c>
      <c r="R72">
        <f>Q71 + K72</f>
        <v>0</v>
      </c>
      <c r="S72">
        <f>INT((A72-1)/12)+1</f>
        <v>0</v>
      </c>
    </row>
    <row r="73" spans="1:19">
      <c r="A73">
        <v>72</v>
      </c>
      <c r="B73">
        <f>TEXT(DATEVALUE(START&amp;"-01")+ (ROW()-2),"yyyy-mm")</f>
        <v>0</v>
      </c>
      <c r="C73">
        <f>INDEX(SEASON_FACTORS,MOD(A73-1,12)+1)</f>
        <v>0</v>
      </c>
      <c r="D73">
        <f>INT((A73-1)/12)</f>
        <v>0</v>
      </c>
      <c r="E73">
        <f>COUNTIF(THRESH_ABS,"&lt;="&amp;Q72)</f>
        <v>0</v>
      </c>
      <c r="F73">
        <f>(1+STEP)^(C73+D73)</f>
        <v>0</v>
      </c>
      <c r="G73">
        <f>P0_M2 * (1+INF_A)^(A73-1) * (1+PLUS_A)^(A73-1) * E73</f>
        <v>0</v>
      </c>
      <c r="H73">
        <f>F73 / (1+INF_A)^(A73-1)</f>
        <v>0</v>
      </c>
      <c r="I73">
        <f>F73 / PREF</f>
        <v>0</v>
      </c>
      <c r="J73">
        <f>H73 ^ EPS</f>
        <v>0</v>
      </c>
      <c r="K73">
        <f>THETA * B73 * I73</f>
        <v>0</v>
      </c>
      <c r="L73">
        <f>MIN(M72, J73 * CITY_A)</f>
        <v>0</v>
      </c>
      <c r="M73">
        <f>K73 * SIZE_M2</f>
        <v>0</v>
      </c>
      <c r="N73">
        <f>M72 - K73</f>
        <v>0</v>
      </c>
      <c r="O73">
        <f>SIZE_M2 * F73</f>
        <v>0</v>
      </c>
      <c r="P73">
        <f>L73 * F73</f>
        <v>0</v>
      </c>
      <c r="Q73">
        <f>O73 / (1+INF_A)^(A73-1)</f>
        <v>0</v>
      </c>
      <c r="R73">
        <f>Q72 + K73</f>
        <v>0</v>
      </c>
      <c r="S73">
        <f>INT((A73-1)/12)+1</f>
        <v>0</v>
      </c>
    </row>
    <row r="74" spans="1:19">
      <c r="A74">
        <v>73</v>
      </c>
      <c r="B74">
        <f>TEXT(DATEVALUE(START&amp;"-01")+ (ROW()-2),"yyyy-mm")</f>
        <v>0</v>
      </c>
      <c r="C74">
        <f>INDEX(SEASON_FACTORS,MOD(A74-1,12)+1)</f>
        <v>0</v>
      </c>
      <c r="D74">
        <f>INT((A74-1)/12)</f>
        <v>0</v>
      </c>
      <c r="E74">
        <f>COUNTIF(THRESH_ABS,"&lt;="&amp;Q73)</f>
        <v>0</v>
      </c>
      <c r="F74">
        <f>(1+STEP)^(C74+D74)</f>
        <v>0</v>
      </c>
      <c r="G74">
        <f>P0_M2 * (1+INF_A)^(A74-1) * (1+PLUS_A)^(A74-1) * E74</f>
        <v>0</v>
      </c>
      <c r="H74">
        <f>F74 / (1+INF_A)^(A74-1)</f>
        <v>0</v>
      </c>
      <c r="I74">
        <f>F74 / PREF</f>
        <v>0</v>
      </c>
      <c r="J74">
        <f>H74 ^ EPS</f>
        <v>0</v>
      </c>
      <c r="K74">
        <f>THETA * B74 * I74</f>
        <v>0</v>
      </c>
      <c r="L74">
        <f>MIN(M73, J74 * CITY_A)</f>
        <v>0</v>
      </c>
      <c r="M74">
        <f>K74 * SIZE_M2</f>
        <v>0</v>
      </c>
      <c r="N74">
        <f>M73 - K74</f>
        <v>0</v>
      </c>
      <c r="O74">
        <f>SIZE_M2 * F74</f>
        <v>0</v>
      </c>
      <c r="P74">
        <f>L74 * F74</f>
        <v>0</v>
      </c>
      <c r="Q74">
        <f>O74 / (1+INF_A)^(A74-1)</f>
        <v>0</v>
      </c>
      <c r="R74">
        <f>Q73 + K74</f>
        <v>0</v>
      </c>
      <c r="S74">
        <f>INT((A74-1)/12)+1</f>
        <v>0</v>
      </c>
    </row>
    <row r="75" spans="1:19">
      <c r="A75">
        <v>74</v>
      </c>
      <c r="B75">
        <f>TEXT(DATEVALUE(START&amp;"-01")+ (ROW()-2),"yyyy-mm")</f>
        <v>0</v>
      </c>
      <c r="C75">
        <f>INDEX(SEASON_FACTORS,MOD(A75-1,12)+1)</f>
        <v>0</v>
      </c>
      <c r="D75">
        <f>INT((A75-1)/12)</f>
        <v>0</v>
      </c>
      <c r="E75">
        <f>COUNTIF(THRESH_ABS,"&lt;="&amp;Q74)</f>
        <v>0</v>
      </c>
      <c r="F75">
        <f>(1+STEP)^(C75+D75)</f>
        <v>0</v>
      </c>
      <c r="G75">
        <f>P0_M2 * (1+INF_A)^(A75-1) * (1+PLUS_A)^(A75-1) * E75</f>
        <v>0</v>
      </c>
      <c r="H75">
        <f>F75 / (1+INF_A)^(A75-1)</f>
        <v>0</v>
      </c>
      <c r="I75">
        <f>F75 / PREF</f>
        <v>0</v>
      </c>
      <c r="J75">
        <f>H75 ^ EPS</f>
        <v>0</v>
      </c>
      <c r="K75">
        <f>THETA * B75 * I75</f>
        <v>0</v>
      </c>
      <c r="L75">
        <f>MIN(M74, J75 * CITY_A)</f>
        <v>0</v>
      </c>
      <c r="M75">
        <f>K75 * SIZE_M2</f>
        <v>0</v>
      </c>
      <c r="N75">
        <f>M74 - K75</f>
        <v>0</v>
      </c>
      <c r="O75">
        <f>SIZE_M2 * F75</f>
        <v>0</v>
      </c>
      <c r="P75">
        <f>L75 * F75</f>
        <v>0</v>
      </c>
      <c r="Q75">
        <f>O75 / (1+INF_A)^(A75-1)</f>
        <v>0</v>
      </c>
      <c r="R75">
        <f>Q74 + K75</f>
        <v>0</v>
      </c>
      <c r="S75">
        <f>INT((A75-1)/12)+1</f>
        <v>0</v>
      </c>
    </row>
    <row r="76" spans="1:19">
      <c r="A76">
        <v>75</v>
      </c>
      <c r="B76">
        <f>TEXT(DATEVALUE(START&amp;"-01")+ (ROW()-2),"yyyy-mm")</f>
        <v>0</v>
      </c>
      <c r="C76">
        <f>INDEX(SEASON_FACTORS,MOD(A76-1,12)+1)</f>
        <v>0</v>
      </c>
      <c r="D76">
        <f>INT((A76-1)/12)</f>
        <v>0</v>
      </c>
      <c r="E76">
        <f>COUNTIF(THRESH_ABS,"&lt;="&amp;Q75)</f>
        <v>0</v>
      </c>
      <c r="F76">
        <f>(1+STEP)^(C76+D76)</f>
        <v>0</v>
      </c>
      <c r="G76">
        <f>P0_M2 * (1+INF_A)^(A76-1) * (1+PLUS_A)^(A76-1) * E76</f>
        <v>0</v>
      </c>
      <c r="H76">
        <f>F76 / (1+INF_A)^(A76-1)</f>
        <v>0</v>
      </c>
      <c r="I76">
        <f>F76 / PREF</f>
        <v>0</v>
      </c>
      <c r="J76">
        <f>H76 ^ EPS</f>
        <v>0</v>
      </c>
      <c r="K76">
        <f>THETA * B76 * I76</f>
        <v>0</v>
      </c>
      <c r="L76">
        <f>MIN(M75, J76 * CITY_A)</f>
        <v>0</v>
      </c>
      <c r="M76">
        <f>K76 * SIZE_M2</f>
        <v>0</v>
      </c>
      <c r="N76">
        <f>M75 - K76</f>
        <v>0</v>
      </c>
      <c r="O76">
        <f>SIZE_M2 * F76</f>
        <v>0</v>
      </c>
      <c r="P76">
        <f>L76 * F76</f>
        <v>0</v>
      </c>
      <c r="Q76">
        <f>O76 / (1+INF_A)^(A76-1)</f>
        <v>0</v>
      </c>
      <c r="R76">
        <f>Q75 + K76</f>
        <v>0</v>
      </c>
      <c r="S76">
        <f>INT((A76-1)/12)+1</f>
        <v>0</v>
      </c>
    </row>
    <row r="77" spans="1:19">
      <c r="A77">
        <v>76</v>
      </c>
      <c r="B77">
        <f>TEXT(DATEVALUE(START&amp;"-01")+ (ROW()-2),"yyyy-mm")</f>
        <v>0</v>
      </c>
      <c r="C77">
        <f>INDEX(SEASON_FACTORS,MOD(A77-1,12)+1)</f>
        <v>0</v>
      </c>
      <c r="D77">
        <f>INT((A77-1)/12)</f>
        <v>0</v>
      </c>
      <c r="E77">
        <f>COUNTIF(THRESH_ABS,"&lt;="&amp;Q76)</f>
        <v>0</v>
      </c>
      <c r="F77">
        <f>(1+STEP)^(C77+D77)</f>
        <v>0</v>
      </c>
      <c r="G77">
        <f>P0_M2 * (1+INF_A)^(A77-1) * (1+PLUS_A)^(A77-1) * E77</f>
        <v>0</v>
      </c>
      <c r="H77">
        <f>F77 / (1+INF_A)^(A77-1)</f>
        <v>0</v>
      </c>
      <c r="I77">
        <f>F77 / PREF</f>
        <v>0</v>
      </c>
      <c r="J77">
        <f>H77 ^ EPS</f>
        <v>0</v>
      </c>
      <c r="K77">
        <f>THETA * B77 * I77</f>
        <v>0</v>
      </c>
      <c r="L77">
        <f>MIN(M76, J77 * CITY_A)</f>
        <v>0</v>
      </c>
      <c r="M77">
        <f>K77 * SIZE_M2</f>
        <v>0</v>
      </c>
      <c r="N77">
        <f>M76 - K77</f>
        <v>0</v>
      </c>
      <c r="O77">
        <f>SIZE_M2 * F77</f>
        <v>0</v>
      </c>
      <c r="P77">
        <f>L77 * F77</f>
        <v>0</v>
      </c>
      <c r="Q77">
        <f>O77 / (1+INF_A)^(A77-1)</f>
        <v>0</v>
      </c>
      <c r="R77">
        <f>Q76 + K77</f>
        <v>0</v>
      </c>
      <c r="S77">
        <f>INT((A77-1)/12)+1</f>
        <v>0</v>
      </c>
    </row>
    <row r="78" spans="1:19">
      <c r="A78">
        <v>77</v>
      </c>
      <c r="B78">
        <f>TEXT(DATEVALUE(START&amp;"-01")+ (ROW()-2),"yyyy-mm")</f>
        <v>0</v>
      </c>
      <c r="C78">
        <f>INDEX(SEASON_FACTORS,MOD(A78-1,12)+1)</f>
        <v>0</v>
      </c>
      <c r="D78">
        <f>INT((A78-1)/12)</f>
        <v>0</v>
      </c>
      <c r="E78">
        <f>COUNTIF(THRESH_ABS,"&lt;="&amp;Q77)</f>
        <v>0</v>
      </c>
      <c r="F78">
        <f>(1+STEP)^(C78+D78)</f>
        <v>0</v>
      </c>
      <c r="G78">
        <f>P0_M2 * (1+INF_A)^(A78-1) * (1+PLUS_A)^(A78-1) * E78</f>
        <v>0</v>
      </c>
      <c r="H78">
        <f>F78 / (1+INF_A)^(A78-1)</f>
        <v>0</v>
      </c>
      <c r="I78">
        <f>F78 / PREF</f>
        <v>0</v>
      </c>
      <c r="J78">
        <f>H78 ^ EPS</f>
        <v>0</v>
      </c>
      <c r="K78">
        <f>THETA * B78 * I78</f>
        <v>0</v>
      </c>
      <c r="L78">
        <f>MIN(M77, J78 * CITY_A)</f>
        <v>0</v>
      </c>
      <c r="M78">
        <f>K78 * SIZE_M2</f>
        <v>0</v>
      </c>
      <c r="N78">
        <f>M77 - K78</f>
        <v>0</v>
      </c>
      <c r="O78">
        <f>SIZE_M2 * F78</f>
        <v>0</v>
      </c>
      <c r="P78">
        <f>L78 * F78</f>
        <v>0</v>
      </c>
      <c r="Q78">
        <f>O78 / (1+INF_A)^(A78-1)</f>
        <v>0</v>
      </c>
      <c r="R78">
        <f>Q77 + K78</f>
        <v>0</v>
      </c>
      <c r="S78">
        <f>INT((A78-1)/12)+1</f>
        <v>0</v>
      </c>
    </row>
    <row r="79" spans="1:19">
      <c r="A79">
        <v>78</v>
      </c>
      <c r="B79">
        <f>TEXT(DATEVALUE(START&amp;"-01")+ (ROW()-2),"yyyy-mm")</f>
        <v>0</v>
      </c>
      <c r="C79">
        <f>INDEX(SEASON_FACTORS,MOD(A79-1,12)+1)</f>
        <v>0</v>
      </c>
      <c r="D79">
        <f>INT((A79-1)/12)</f>
        <v>0</v>
      </c>
      <c r="E79">
        <f>COUNTIF(THRESH_ABS,"&lt;="&amp;Q78)</f>
        <v>0</v>
      </c>
      <c r="F79">
        <f>(1+STEP)^(C79+D79)</f>
        <v>0</v>
      </c>
      <c r="G79">
        <f>P0_M2 * (1+INF_A)^(A79-1) * (1+PLUS_A)^(A79-1) * E79</f>
        <v>0</v>
      </c>
      <c r="H79">
        <f>F79 / (1+INF_A)^(A79-1)</f>
        <v>0</v>
      </c>
      <c r="I79">
        <f>F79 / PREF</f>
        <v>0</v>
      </c>
      <c r="J79">
        <f>H79 ^ EPS</f>
        <v>0</v>
      </c>
      <c r="K79">
        <f>THETA * B79 * I79</f>
        <v>0</v>
      </c>
      <c r="L79">
        <f>MIN(M78, J79 * CITY_A)</f>
        <v>0</v>
      </c>
      <c r="M79">
        <f>K79 * SIZE_M2</f>
        <v>0</v>
      </c>
      <c r="N79">
        <f>M78 - K79</f>
        <v>0</v>
      </c>
      <c r="O79">
        <f>SIZE_M2 * F79</f>
        <v>0</v>
      </c>
      <c r="P79">
        <f>L79 * F79</f>
        <v>0</v>
      </c>
      <c r="Q79">
        <f>O79 / (1+INF_A)^(A79-1)</f>
        <v>0</v>
      </c>
      <c r="R79">
        <f>Q78 + K79</f>
        <v>0</v>
      </c>
      <c r="S79">
        <f>INT((A79-1)/12)+1</f>
        <v>0</v>
      </c>
    </row>
    <row r="80" spans="1:19">
      <c r="A80">
        <v>79</v>
      </c>
      <c r="B80">
        <f>TEXT(DATEVALUE(START&amp;"-01")+ (ROW()-2),"yyyy-mm")</f>
        <v>0</v>
      </c>
      <c r="C80">
        <f>INDEX(SEASON_FACTORS,MOD(A80-1,12)+1)</f>
        <v>0</v>
      </c>
      <c r="D80">
        <f>INT((A80-1)/12)</f>
        <v>0</v>
      </c>
      <c r="E80">
        <f>COUNTIF(THRESH_ABS,"&lt;="&amp;Q79)</f>
        <v>0</v>
      </c>
      <c r="F80">
        <f>(1+STEP)^(C80+D80)</f>
        <v>0</v>
      </c>
      <c r="G80">
        <f>P0_M2 * (1+INF_A)^(A80-1) * (1+PLUS_A)^(A80-1) * E80</f>
        <v>0</v>
      </c>
      <c r="H80">
        <f>F80 / (1+INF_A)^(A80-1)</f>
        <v>0</v>
      </c>
      <c r="I80">
        <f>F80 / PREF</f>
        <v>0</v>
      </c>
      <c r="J80">
        <f>H80 ^ EPS</f>
        <v>0</v>
      </c>
      <c r="K80">
        <f>THETA * B80 * I80</f>
        <v>0</v>
      </c>
      <c r="L80">
        <f>MIN(M79, J80 * CITY_A)</f>
        <v>0</v>
      </c>
      <c r="M80">
        <f>K80 * SIZE_M2</f>
        <v>0</v>
      </c>
      <c r="N80">
        <f>M79 - K80</f>
        <v>0</v>
      </c>
      <c r="O80">
        <f>SIZE_M2 * F80</f>
        <v>0</v>
      </c>
      <c r="P80">
        <f>L80 * F80</f>
        <v>0</v>
      </c>
      <c r="Q80">
        <f>O80 / (1+INF_A)^(A80-1)</f>
        <v>0</v>
      </c>
      <c r="R80">
        <f>Q79 + K80</f>
        <v>0</v>
      </c>
      <c r="S80">
        <f>INT((A80-1)/12)+1</f>
        <v>0</v>
      </c>
    </row>
    <row r="81" spans="1:19">
      <c r="A81">
        <v>80</v>
      </c>
      <c r="B81">
        <f>TEXT(DATEVALUE(START&amp;"-01")+ (ROW()-2),"yyyy-mm")</f>
        <v>0</v>
      </c>
      <c r="C81">
        <f>INDEX(SEASON_FACTORS,MOD(A81-1,12)+1)</f>
        <v>0</v>
      </c>
      <c r="D81">
        <f>INT((A81-1)/12)</f>
        <v>0</v>
      </c>
      <c r="E81">
        <f>COUNTIF(THRESH_ABS,"&lt;="&amp;Q80)</f>
        <v>0</v>
      </c>
      <c r="F81">
        <f>(1+STEP)^(C81+D81)</f>
        <v>0</v>
      </c>
      <c r="G81">
        <f>P0_M2 * (1+INF_A)^(A81-1) * (1+PLUS_A)^(A81-1) * E81</f>
        <v>0</v>
      </c>
      <c r="H81">
        <f>F81 / (1+INF_A)^(A81-1)</f>
        <v>0</v>
      </c>
      <c r="I81">
        <f>F81 / PREF</f>
        <v>0</v>
      </c>
      <c r="J81">
        <f>H81 ^ EPS</f>
        <v>0</v>
      </c>
      <c r="K81">
        <f>THETA * B81 * I81</f>
        <v>0</v>
      </c>
      <c r="L81">
        <f>MIN(M80, J81 * CITY_A)</f>
        <v>0</v>
      </c>
      <c r="M81">
        <f>K81 * SIZE_M2</f>
        <v>0</v>
      </c>
      <c r="N81">
        <f>M80 - K81</f>
        <v>0</v>
      </c>
      <c r="O81">
        <f>SIZE_M2 * F81</f>
        <v>0</v>
      </c>
      <c r="P81">
        <f>L81 * F81</f>
        <v>0</v>
      </c>
      <c r="Q81">
        <f>O81 / (1+INF_A)^(A81-1)</f>
        <v>0</v>
      </c>
      <c r="R81">
        <f>Q80 + K81</f>
        <v>0</v>
      </c>
      <c r="S81">
        <f>INT((A81-1)/12)+1</f>
        <v>0</v>
      </c>
    </row>
    <row r="82" spans="1:19">
      <c r="A82">
        <v>81</v>
      </c>
      <c r="B82">
        <f>TEXT(DATEVALUE(START&amp;"-01")+ (ROW()-2),"yyyy-mm")</f>
        <v>0</v>
      </c>
      <c r="C82">
        <f>INDEX(SEASON_FACTORS,MOD(A82-1,12)+1)</f>
        <v>0</v>
      </c>
      <c r="D82">
        <f>INT((A82-1)/12)</f>
        <v>0</v>
      </c>
      <c r="E82">
        <f>COUNTIF(THRESH_ABS,"&lt;="&amp;Q81)</f>
        <v>0</v>
      </c>
      <c r="F82">
        <f>(1+STEP)^(C82+D82)</f>
        <v>0</v>
      </c>
      <c r="G82">
        <f>P0_M2 * (1+INF_A)^(A82-1) * (1+PLUS_A)^(A82-1) * E82</f>
        <v>0</v>
      </c>
      <c r="H82">
        <f>F82 / (1+INF_A)^(A82-1)</f>
        <v>0</v>
      </c>
      <c r="I82">
        <f>F82 / PREF</f>
        <v>0</v>
      </c>
      <c r="J82">
        <f>H82 ^ EPS</f>
        <v>0</v>
      </c>
      <c r="K82">
        <f>THETA * B82 * I82</f>
        <v>0</v>
      </c>
      <c r="L82">
        <f>MIN(M81, J82 * CITY_A)</f>
        <v>0</v>
      </c>
      <c r="M82">
        <f>K82 * SIZE_M2</f>
        <v>0</v>
      </c>
      <c r="N82">
        <f>M81 - K82</f>
        <v>0</v>
      </c>
      <c r="O82">
        <f>SIZE_M2 * F82</f>
        <v>0</v>
      </c>
      <c r="P82">
        <f>L82 * F82</f>
        <v>0</v>
      </c>
      <c r="Q82">
        <f>O82 / (1+INF_A)^(A82-1)</f>
        <v>0</v>
      </c>
      <c r="R82">
        <f>Q81 + K82</f>
        <v>0</v>
      </c>
      <c r="S82">
        <f>INT((A82-1)/12)+1</f>
        <v>0</v>
      </c>
    </row>
    <row r="83" spans="1:19">
      <c r="A83">
        <v>82</v>
      </c>
      <c r="B83">
        <f>TEXT(DATEVALUE(START&amp;"-01")+ (ROW()-2),"yyyy-mm")</f>
        <v>0</v>
      </c>
      <c r="C83">
        <f>INDEX(SEASON_FACTORS,MOD(A83-1,12)+1)</f>
        <v>0</v>
      </c>
      <c r="D83">
        <f>INT((A83-1)/12)</f>
        <v>0</v>
      </c>
      <c r="E83">
        <f>COUNTIF(THRESH_ABS,"&lt;="&amp;Q82)</f>
        <v>0</v>
      </c>
      <c r="F83">
        <f>(1+STEP)^(C83+D83)</f>
        <v>0</v>
      </c>
      <c r="G83">
        <f>P0_M2 * (1+INF_A)^(A83-1) * (1+PLUS_A)^(A83-1) * E83</f>
        <v>0</v>
      </c>
      <c r="H83">
        <f>F83 / (1+INF_A)^(A83-1)</f>
        <v>0</v>
      </c>
      <c r="I83">
        <f>F83 / PREF</f>
        <v>0</v>
      </c>
      <c r="J83">
        <f>H83 ^ EPS</f>
        <v>0</v>
      </c>
      <c r="K83">
        <f>THETA * B83 * I83</f>
        <v>0</v>
      </c>
      <c r="L83">
        <f>MIN(M82, J83 * CITY_A)</f>
        <v>0</v>
      </c>
      <c r="M83">
        <f>K83 * SIZE_M2</f>
        <v>0</v>
      </c>
      <c r="N83">
        <f>M82 - K83</f>
        <v>0</v>
      </c>
      <c r="O83">
        <f>SIZE_M2 * F83</f>
        <v>0</v>
      </c>
      <c r="P83">
        <f>L83 * F83</f>
        <v>0</v>
      </c>
      <c r="Q83">
        <f>O83 / (1+INF_A)^(A83-1)</f>
        <v>0</v>
      </c>
      <c r="R83">
        <f>Q82 + K83</f>
        <v>0</v>
      </c>
      <c r="S83">
        <f>INT((A83-1)/12)+1</f>
        <v>0</v>
      </c>
    </row>
    <row r="84" spans="1:19">
      <c r="A84">
        <v>83</v>
      </c>
      <c r="B84">
        <f>TEXT(DATEVALUE(START&amp;"-01")+ (ROW()-2),"yyyy-mm")</f>
        <v>0</v>
      </c>
      <c r="C84">
        <f>INDEX(SEASON_FACTORS,MOD(A84-1,12)+1)</f>
        <v>0</v>
      </c>
      <c r="D84">
        <f>INT((A84-1)/12)</f>
        <v>0</v>
      </c>
      <c r="E84">
        <f>COUNTIF(THRESH_ABS,"&lt;="&amp;Q83)</f>
        <v>0</v>
      </c>
      <c r="F84">
        <f>(1+STEP)^(C84+D84)</f>
        <v>0</v>
      </c>
      <c r="G84">
        <f>P0_M2 * (1+INF_A)^(A84-1) * (1+PLUS_A)^(A84-1) * E84</f>
        <v>0</v>
      </c>
      <c r="H84">
        <f>F84 / (1+INF_A)^(A84-1)</f>
        <v>0</v>
      </c>
      <c r="I84">
        <f>F84 / PREF</f>
        <v>0</v>
      </c>
      <c r="J84">
        <f>H84 ^ EPS</f>
        <v>0</v>
      </c>
      <c r="K84">
        <f>THETA * B84 * I84</f>
        <v>0</v>
      </c>
      <c r="L84">
        <f>MIN(M83, J84 * CITY_A)</f>
        <v>0</v>
      </c>
      <c r="M84">
        <f>K84 * SIZE_M2</f>
        <v>0</v>
      </c>
      <c r="N84">
        <f>M83 - K84</f>
        <v>0</v>
      </c>
      <c r="O84">
        <f>SIZE_M2 * F84</f>
        <v>0</v>
      </c>
      <c r="P84">
        <f>L84 * F84</f>
        <v>0</v>
      </c>
      <c r="Q84">
        <f>O84 / (1+INF_A)^(A84-1)</f>
        <v>0</v>
      </c>
      <c r="R84">
        <f>Q83 + K84</f>
        <v>0</v>
      </c>
      <c r="S84">
        <f>INT((A84-1)/12)+1</f>
        <v>0</v>
      </c>
    </row>
    <row r="85" spans="1:19">
      <c r="A85">
        <v>84</v>
      </c>
      <c r="B85">
        <f>TEXT(DATEVALUE(START&amp;"-01")+ (ROW()-2),"yyyy-mm")</f>
        <v>0</v>
      </c>
      <c r="C85">
        <f>INDEX(SEASON_FACTORS,MOD(A85-1,12)+1)</f>
        <v>0</v>
      </c>
      <c r="D85">
        <f>INT((A85-1)/12)</f>
        <v>0</v>
      </c>
      <c r="E85">
        <f>COUNTIF(THRESH_ABS,"&lt;="&amp;Q84)</f>
        <v>0</v>
      </c>
      <c r="F85">
        <f>(1+STEP)^(C85+D85)</f>
        <v>0</v>
      </c>
      <c r="G85">
        <f>P0_M2 * (1+INF_A)^(A85-1) * (1+PLUS_A)^(A85-1) * E85</f>
        <v>0</v>
      </c>
      <c r="H85">
        <f>F85 / (1+INF_A)^(A85-1)</f>
        <v>0</v>
      </c>
      <c r="I85">
        <f>F85 / PREF</f>
        <v>0</v>
      </c>
      <c r="J85">
        <f>H85 ^ EPS</f>
        <v>0</v>
      </c>
      <c r="K85">
        <f>THETA * B85 * I85</f>
        <v>0</v>
      </c>
      <c r="L85">
        <f>MIN(M84, J85 * CITY_A)</f>
        <v>0</v>
      </c>
      <c r="M85">
        <f>K85 * SIZE_M2</f>
        <v>0</v>
      </c>
      <c r="N85">
        <f>M84 - K85</f>
        <v>0</v>
      </c>
      <c r="O85">
        <f>SIZE_M2 * F85</f>
        <v>0</v>
      </c>
      <c r="P85">
        <f>L85 * F85</f>
        <v>0</v>
      </c>
      <c r="Q85">
        <f>O85 / (1+INF_A)^(A85-1)</f>
        <v>0</v>
      </c>
      <c r="R85">
        <f>Q84 + K85</f>
        <v>0</v>
      </c>
      <c r="S85">
        <f>INT((A85-1)/12)+1</f>
        <v>0</v>
      </c>
    </row>
    <row r="86" spans="1:19">
      <c r="A86">
        <v>85</v>
      </c>
      <c r="B86">
        <f>TEXT(DATEVALUE(START&amp;"-01")+ (ROW()-2),"yyyy-mm")</f>
        <v>0</v>
      </c>
      <c r="C86">
        <f>INDEX(SEASON_FACTORS,MOD(A86-1,12)+1)</f>
        <v>0</v>
      </c>
      <c r="D86">
        <f>INT((A86-1)/12)</f>
        <v>0</v>
      </c>
      <c r="E86">
        <f>COUNTIF(THRESH_ABS,"&lt;="&amp;Q85)</f>
        <v>0</v>
      </c>
      <c r="F86">
        <f>(1+STEP)^(C86+D86)</f>
        <v>0</v>
      </c>
      <c r="G86">
        <f>P0_M2 * (1+INF_A)^(A86-1) * (1+PLUS_A)^(A86-1) * E86</f>
        <v>0</v>
      </c>
      <c r="H86">
        <f>F86 / (1+INF_A)^(A86-1)</f>
        <v>0</v>
      </c>
      <c r="I86">
        <f>F86 / PREF</f>
        <v>0</v>
      </c>
      <c r="J86">
        <f>H86 ^ EPS</f>
        <v>0</v>
      </c>
      <c r="K86">
        <f>THETA * B86 * I86</f>
        <v>0</v>
      </c>
      <c r="L86">
        <f>MIN(M85, J86 * CITY_A)</f>
        <v>0</v>
      </c>
      <c r="M86">
        <f>K86 * SIZE_M2</f>
        <v>0</v>
      </c>
      <c r="N86">
        <f>M85 - K86</f>
        <v>0</v>
      </c>
      <c r="O86">
        <f>SIZE_M2 * F86</f>
        <v>0</v>
      </c>
      <c r="P86">
        <f>L86 * F86</f>
        <v>0</v>
      </c>
      <c r="Q86">
        <f>O86 / (1+INF_A)^(A86-1)</f>
        <v>0</v>
      </c>
      <c r="R86">
        <f>Q85 + K86</f>
        <v>0</v>
      </c>
      <c r="S86">
        <f>INT((A86-1)/12)+1</f>
        <v>0</v>
      </c>
    </row>
    <row r="87" spans="1:19">
      <c r="A87">
        <v>86</v>
      </c>
      <c r="B87">
        <f>TEXT(DATEVALUE(START&amp;"-01")+ (ROW()-2),"yyyy-mm")</f>
        <v>0</v>
      </c>
      <c r="C87">
        <f>INDEX(SEASON_FACTORS,MOD(A87-1,12)+1)</f>
        <v>0</v>
      </c>
      <c r="D87">
        <f>INT((A87-1)/12)</f>
        <v>0</v>
      </c>
      <c r="E87">
        <f>COUNTIF(THRESH_ABS,"&lt;="&amp;Q86)</f>
        <v>0</v>
      </c>
      <c r="F87">
        <f>(1+STEP)^(C87+D87)</f>
        <v>0</v>
      </c>
      <c r="G87">
        <f>P0_M2 * (1+INF_A)^(A87-1) * (1+PLUS_A)^(A87-1) * E87</f>
        <v>0</v>
      </c>
      <c r="H87">
        <f>F87 / (1+INF_A)^(A87-1)</f>
        <v>0</v>
      </c>
      <c r="I87">
        <f>F87 / PREF</f>
        <v>0</v>
      </c>
      <c r="J87">
        <f>H87 ^ EPS</f>
        <v>0</v>
      </c>
      <c r="K87">
        <f>THETA * B87 * I87</f>
        <v>0</v>
      </c>
      <c r="L87">
        <f>MIN(M86, J87 * CITY_A)</f>
        <v>0</v>
      </c>
      <c r="M87">
        <f>K87 * SIZE_M2</f>
        <v>0</v>
      </c>
      <c r="N87">
        <f>M86 - K87</f>
        <v>0</v>
      </c>
      <c r="O87">
        <f>SIZE_M2 * F87</f>
        <v>0</v>
      </c>
      <c r="P87">
        <f>L87 * F87</f>
        <v>0</v>
      </c>
      <c r="Q87">
        <f>O87 / (1+INF_A)^(A87-1)</f>
        <v>0</v>
      </c>
      <c r="R87">
        <f>Q86 + K87</f>
        <v>0</v>
      </c>
      <c r="S87">
        <f>INT((A87-1)/12)+1</f>
        <v>0</v>
      </c>
    </row>
    <row r="88" spans="1:19">
      <c r="A88">
        <v>87</v>
      </c>
      <c r="B88">
        <f>TEXT(DATEVALUE(START&amp;"-01")+ (ROW()-2),"yyyy-mm")</f>
        <v>0</v>
      </c>
      <c r="C88">
        <f>INDEX(SEASON_FACTORS,MOD(A88-1,12)+1)</f>
        <v>0</v>
      </c>
      <c r="D88">
        <f>INT((A88-1)/12)</f>
        <v>0</v>
      </c>
      <c r="E88">
        <f>COUNTIF(THRESH_ABS,"&lt;="&amp;Q87)</f>
        <v>0</v>
      </c>
      <c r="F88">
        <f>(1+STEP)^(C88+D88)</f>
        <v>0</v>
      </c>
      <c r="G88">
        <f>P0_M2 * (1+INF_A)^(A88-1) * (1+PLUS_A)^(A88-1) * E88</f>
        <v>0</v>
      </c>
      <c r="H88">
        <f>F88 / (1+INF_A)^(A88-1)</f>
        <v>0</v>
      </c>
      <c r="I88">
        <f>F88 / PREF</f>
        <v>0</v>
      </c>
      <c r="J88">
        <f>H88 ^ EPS</f>
        <v>0</v>
      </c>
      <c r="K88">
        <f>THETA * B88 * I88</f>
        <v>0</v>
      </c>
      <c r="L88">
        <f>MIN(M87, J88 * CITY_A)</f>
        <v>0</v>
      </c>
      <c r="M88">
        <f>K88 * SIZE_M2</f>
        <v>0</v>
      </c>
      <c r="N88">
        <f>M87 - K88</f>
        <v>0</v>
      </c>
      <c r="O88">
        <f>SIZE_M2 * F88</f>
        <v>0</v>
      </c>
      <c r="P88">
        <f>L88 * F88</f>
        <v>0</v>
      </c>
      <c r="Q88">
        <f>O88 / (1+INF_A)^(A88-1)</f>
        <v>0</v>
      </c>
      <c r="R88">
        <f>Q87 + K88</f>
        <v>0</v>
      </c>
      <c r="S88">
        <f>INT((A88-1)/12)+1</f>
        <v>0</v>
      </c>
    </row>
    <row r="89" spans="1:19">
      <c r="A89">
        <v>88</v>
      </c>
      <c r="B89">
        <f>TEXT(DATEVALUE(START&amp;"-01")+ (ROW()-2),"yyyy-mm")</f>
        <v>0</v>
      </c>
      <c r="C89">
        <f>INDEX(SEASON_FACTORS,MOD(A89-1,12)+1)</f>
        <v>0</v>
      </c>
      <c r="D89">
        <f>INT((A89-1)/12)</f>
        <v>0</v>
      </c>
      <c r="E89">
        <f>COUNTIF(THRESH_ABS,"&lt;="&amp;Q88)</f>
        <v>0</v>
      </c>
      <c r="F89">
        <f>(1+STEP)^(C89+D89)</f>
        <v>0</v>
      </c>
      <c r="G89">
        <f>P0_M2 * (1+INF_A)^(A89-1) * (1+PLUS_A)^(A89-1) * E89</f>
        <v>0</v>
      </c>
      <c r="H89">
        <f>F89 / (1+INF_A)^(A89-1)</f>
        <v>0</v>
      </c>
      <c r="I89">
        <f>F89 / PREF</f>
        <v>0</v>
      </c>
      <c r="J89">
        <f>H89 ^ EPS</f>
        <v>0</v>
      </c>
      <c r="K89">
        <f>THETA * B89 * I89</f>
        <v>0</v>
      </c>
      <c r="L89">
        <f>MIN(M88, J89 * CITY_A)</f>
        <v>0</v>
      </c>
      <c r="M89">
        <f>K89 * SIZE_M2</f>
        <v>0</v>
      </c>
      <c r="N89">
        <f>M88 - K89</f>
        <v>0</v>
      </c>
      <c r="O89">
        <f>SIZE_M2 * F89</f>
        <v>0</v>
      </c>
      <c r="P89">
        <f>L89 * F89</f>
        <v>0</v>
      </c>
      <c r="Q89">
        <f>O89 / (1+INF_A)^(A89-1)</f>
        <v>0</v>
      </c>
      <c r="R89">
        <f>Q88 + K89</f>
        <v>0</v>
      </c>
      <c r="S89">
        <f>INT((A89-1)/12)+1</f>
        <v>0</v>
      </c>
    </row>
    <row r="90" spans="1:19">
      <c r="A90">
        <v>89</v>
      </c>
      <c r="B90">
        <f>TEXT(DATEVALUE(START&amp;"-01")+ (ROW()-2),"yyyy-mm")</f>
        <v>0</v>
      </c>
      <c r="C90">
        <f>INDEX(SEASON_FACTORS,MOD(A90-1,12)+1)</f>
        <v>0</v>
      </c>
      <c r="D90">
        <f>INT((A90-1)/12)</f>
        <v>0</v>
      </c>
      <c r="E90">
        <f>COUNTIF(THRESH_ABS,"&lt;="&amp;Q89)</f>
        <v>0</v>
      </c>
      <c r="F90">
        <f>(1+STEP)^(C90+D90)</f>
        <v>0</v>
      </c>
      <c r="G90">
        <f>P0_M2 * (1+INF_A)^(A90-1) * (1+PLUS_A)^(A90-1) * E90</f>
        <v>0</v>
      </c>
      <c r="H90">
        <f>F90 / (1+INF_A)^(A90-1)</f>
        <v>0</v>
      </c>
      <c r="I90">
        <f>F90 / PREF</f>
        <v>0</v>
      </c>
      <c r="J90">
        <f>H90 ^ EPS</f>
        <v>0</v>
      </c>
      <c r="K90">
        <f>THETA * B90 * I90</f>
        <v>0</v>
      </c>
      <c r="L90">
        <f>MIN(M89, J90 * CITY_A)</f>
        <v>0</v>
      </c>
      <c r="M90">
        <f>K90 * SIZE_M2</f>
        <v>0</v>
      </c>
      <c r="N90">
        <f>M89 - K90</f>
        <v>0</v>
      </c>
      <c r="O90">
        <f>SIZE_M2 * F90</f>
        <v>0</v>
      </c>
      <c r="P90">
        <f>L90 * F90</f>
        <v>0</v>
      </c>
      <c r="Q90">
        <f>O90 / (1+INF_A)^(A90-1)</f>
        <v>0</v>
      </c>
      <c r="R90">
        <f>Q89 + K90</f>
        <v>0</v>
      </c>
      <c r="S90">
        <f>INT((A90-1)/12)+1</f>
        <v>0</v>
      </c>
    </row>
    <row r="91" spans="1:19">
      <c r="A91">
        <v>90</v>
      </c>
      <c r="B91">
        <f>TEXT(DATEVALUE(START&amp;"-01")+ (ROW()-2),"yyyy-mm")</f>
        <v>0</v>
      </c>
      <c r="C91">
        <f>INDEX(SEASON_FACTORS,MOD(A91-1,12)+1)</f>
        <v>0</v>
      </c>
      <c r="D91">
        <f>INT((A91-1)/12)</f>
        <v>0</v>
      </c>
      <c r="E91">
        <f>COUNTIF(THRESH_ABS,"&lt;="&amp;Q90)</f>
        <v>0</v>
      </c>
      <c r="F91">
        <f>(1+STEP)^(C91+D91)</f>
        <v>0</v>
      </c>
      <c r="G91">
        <f>P0_M2 * (1+INF_A)^(A91-1) * (1+PLUS_A)^(A91-1) * E91</f>
        <v>0</v>
      </c>
      <c r="H91">
        <f>F91 / (1+INF_A)^(A91-1)</f>
        <v>0</v>
      </c>
      <c r="I91">
        <f>F91 / PREF</f>
        <v>0</v>
      </c>
      <c r="J91">
        <f>H91 ^ EPS</f>
        <v>0</v>
      </c>
      <c r="K91">
        <f>THETA * B91 * I91</f>
        <v>0</v>
      </c>
      <c r="L91">
        <f>MIN(M90, J91 * CITY_A)</f>
        <v>0</v>
      </c>
      <c r="M91">
        <f>K91 * SIZE_M2</f>
        <v>0</v>
      </c>
      <c r="N91">
        <f>M90 - K91</f>
        <v>0</v>
      </c>
      <c r="O91">
        <f>SIZE_M2 * F91</f>
        <v>0</v>
      </c>
      <c r="P91">
        <f>L91 * F91</f>
        <v>0</v>
      </c>
      <c r="Q91">
        <f>O91 / (1+INF_A)^(A91-1)</f>
        <v>0</v>
      </c>
      <c r="R91">
        <f>Q90 + K91</f>
        <v>0</v>
      </c>
      <c r="S91">
        <f>INT((A91-1)/12)+1</f>
        <v>0</v>
      </c>
    </row>
    <row r="92" spans="1:19">
      <c r="A92">
        <v>91</v>
      </c>
      <c r="B92">
        <f>TEXT(DATEVALUE(START&amp;"-01")+ (ROW()-2),"yyyy-mm")</f>
        <v>0</v>
      </c>
      <c r="C92">
        <f>INDEX(SEASON_FACTORS,MOD(A92-1,12)+1)</f>
        <v>0</v>
      </c>
      <c r="D92">
        <f>INT((A92-1)/12)</f>
        <v>0</v>
      </c>
      <c r="E92">
        <f>COUNTIF(THRESH_ABS,"&lt;="&amp;Q91)</f>
        <v>0</v>
      </c>
      <c r="F92">
        <f>(1+STEP)^(C92+D92)</f>
        <v>0</v>
      </c>
      <c r="G92">
        <f>P0_M2 * (1+INF_A)^(A92-1) * (1+PLUS_A)^(A92-1) * E92</f>
        <v>0</v>
      </c>
      <c r="H92">
        <f>F92 / (1+INF_A)^(A92-1)</f>
        <v>0</v>
      </c>
      <c r="I92">
        <f>F92 / PREF</f>
        <v>0</v>
      </c>
      <c r="J92">
        <f>H92 ^ EPS</f>
        <v>0</v>
      </c>
      <c r="K92">
        <f>THETA * B92 * I92</f>
        <v>0</v>
      </c>
      <c r="L92">
        <f>MIN(M91, J92 * CITY_A)</f>
        <v>0</v>
      </c>
      <c r="M92">
        <f>K92 * SIZE_M2</f>
        <v>0</v>
      </c>
      <c r="N92">
        <f>M91 - K92</f>
        <v>0</v>
      </c>
      <c r="O92">
        <f>SIZE_M2 * F92</f>
        <v>0</v>
      </c>
      <c r="P92">
        <f>L92 * F92</f>
        <v>0</v>
      </c>
      <c r="Q92">
        <f>O92 / (1+INF_A)^(A92-1)</f>
        <v>0</v>
      </c>
      <c r="R92">
        <f>Q91 + K92</f>
        <v>0</v>
      </c>
      <c r="S92">
        <f>INT((A92-1)/12)+1</f>
        <v>0</v>
      </c>
    </row>
    <row r="93" spans="1:19">
      <c r="A93">
        <v>92</v>
      </c>
      <c r="B93">
        <f>TEXT(DATEVALUE(START&amp;"-01")+ (ROW()-2),"yyyy-mm")</f>
        <v>0</v>
      </c>
      <c r="C93">
        <f>INDEX(SEASON_FACTORS,MOD(A93-1,12)+1)</f>
        <v>0</v>
      </c>
      <c r="D93">
        <f>INT((A93-1)/12)</f>
        <v>0</v>
      </c>
      <c r="E93">
        <f>COUNTIF(THRESH_ABS,"&lt;="&amp;Q92)</f>
        <v>0</v>
      </c>
      <c r="F93">
        <f>(1+STEP)^(C93+D93)</f>
        <v>0</v>
      </c>
      <c r="G93">
        <f>P0_M2 * (1+INF_A)^(A93-1) * (1+PLUS_A)^(A93-1) * E93</f>
        <v>0</v>
      </c>
      <c r="H93">
        <f>F93 / (1+INF_A)^(A93-1)</f>
        <v>0</v>
      </c>
      <c r="I93">
        <f>F93 / PREF</f>
        <v>0</v>
      </c>
      <c r="J93">
        <f>H93 ^ EPS</f>
        <v>0</v>
      </c>
      <c r="K93">
        <f>THETA * B93 * I93</f>
        <v>0</v>
      </c>
      <c r="L93">
        <f>MIN(M92, J93 * CITY_A)</f>
        <v>0</v>
      </c>
      <c r="M93">
        <f>K93 * SIZE_M2</f>
        <v>0</v>
      </c>
      <c r="N93">
        <f>M92 - K93</f>
        <v>0</v>
      </c>
      <c r="O93">
        <f>SIZE_M2 * F93</f>
        <v>0</v>
      </c>
      <c r="P93">
        <f>L93 * F93</f>
        <v>0</v>
      </c>
      <c r="Q93">
        <f>O93 / (1+INF_A)^(A93-1)</f>
        <v>0</v>
      </c>
      <c r="R93">
        <f>Q92 + K93</f>
        <v>0</v>
      </c>
      <c r="S93">
        <f>INT((A93-1)/12)+1</f>
        <v>0</v>
      </c>
    </row>
    <row r="94" spans="1:19">
      <c r="A94">
        <v>93</v>
      </c>
      <c r="B94">
        <f>TEXT(DATEVALUE(START&amp;"-01")+ (ROW()-2),"yyyy-mm")</f>
        <v>0</v>
      </c>
      <c r="C94">
        <f>INDEX(SEASON_FACTORS,MOD(A94-1,12)+1)</f>
        <v>0</v>
      </c>
      <c r="D94">
        <f>INT((A94-1)/12)</f>
        <v>0</v>
      </c>
      <c r="E94">
        <f>COUNTIF(THRESH_ABS,"&lt;="&amp;Q93)</f>
        <v>0</v>
      </c>
      <c r="F94">
        <f>(1+STEP)^(C94+D94)</f>
        <v>0</v>
      </c>
      <c r="G94">
        <f>P0_M2 * (1+INF_A)^(A94-1) * (1+PLUS_A)^(A94-1) * E94</f>
        <v>0</v>
      </c>
      <c r="H94">
        <f>F94 / (1+INF_A)^(A94-1)</f>
        <v>0</v>
      </c>
      <c r="I94">
        <f>F94 / PREF</f>
        <v>0</v>
      </c>
      <c r="J94">
        <f>H94 ^ EPS</f>
        <v>0</v>
      </c>
      <c r="K94">
        <f>THETA * B94 * I94</f>
        <v>0</v>
      </c>
      <c r="L94">
        <f>MIN(M93, J94 * CITY_A)</f>
        <v>0</v>
      </c>
      <c r="M94">
        <f>K94 * SIZE_M2</f>
        <v>0</v>
      </c>
      <c r="N94">
        <f>M93 - K94</f>
        <v>0</v>
      </c>
      <c r="O94">
        <f>SIZE_M2 * F94</f>
        <v>0</v>
      </c>
      <c r="P94">
        <f>L94 * F94</f>
        <v>0</v>
      </c>
      <c r="Q94">
        <f>O94 / (1+INF_A)^(A94-1)</f>
        <v>0</v>
      </c>
      <c r="R94">
        <f>Q93 + K94</f>
        <v>0</v>
      </c>
      <c r="S94">
        <f>INT((A94-1)/12)+1</f>
        <v>0</v>
      </c>
    </row>
    <row r="95" spans="1:19">
      <c r="A95">
        <v>94</v>
      </c>
      <c r="B95">
        <f>TEXT(DATEVALUE(START&amp;"-01")+ (ROW()-2),"yyyy-mm")</f>
        <v>0</v>
      </c>
      <c r="C95">
        <f>INDEX(SEASON_FACTORS,MOD(A95-1,12)+1)</f>
        <v>0</v>
      </c>
      <c r="D95">
        <f>INT((A95-1)/12)</f>
        <v>0</v>
      </c>
      <c r="E95">
        <f>COUNTIF(THRESH_ABS,"&lt;="&amp;Q94)</f>
        <v>0</v>
      </c>
      <c r="F95">
        <f>(1+STEP)^(C95+D95)</f>
        <v>0</v>
      </c>
      <c r="G95">
        <f>P0_M2 * (1+INF_A)^(A95-1) * (1+PLUS_A)^(A95-1) * E95</f>
        <v>0</v>
      </c>
      <c r="H95">
        <f>F95 / (1+INF_A)^(A95-1)</f>
        <v>0</v>
      </c>
      <c r="I95">
        <f>F95 / PREF</f>
        <v>0</v>
      </c>
      <c r="J95">
        <f>H95 ^ EPS</f>
        <v>0</v>
      </c>
      <c r="K95">
        <f>THETA * B95 * I95</f>
        <v>0</v>
      </c>
      <c r="L95">
        <f>MIN(M94, J95 * CITY_A)</f>
        <v>0</v>
      </c>
      <c r="M95">
        <f>K95 * SIZE_M2</f>
        <v>0</v>
      </c>
      <c r="N95">
        <f>M94 - K95</f>
        <v>0</v>
      </c>
      <c r="O95">
        <f>SIZE_M2 * F95</f>
        <v>0</v>
      </c>
      <c r="P95">
        <f>L95 * F95</f>
        <v>0</v>
      </c>
      <c r="Q95">
        <f>O95 / (1+INF_A)^(A95-1)</f>
        <v>0</v>
      </c>
      <c r="R95">
        <f>Q94 + K95</f>
        <v>0</v>
      </c>
      <c r="S95">
        <f>INT((A95-1)/12)+1</f>
        <v>0</v>
      </c>
    </row>
    <row r="96" spans="1:19">
      <c r="A96">
        <v>95</v>
      </c>
      <c r="B96">
        <f>TEXT(DATEVALUE(START&amp;"-01")+ (ROW()-2),"yyyy-mm")</f>
        <v>0</v>
      </c>
      <c r="C96">
        <f>INDEX(SEASON_FACTORS,MOD(A96-1,12)+1)</f>
        <v>0</v>
      </c>
      <c r="D96">
        <f>INT((A96-1)/12)</f>
        <v>0</v>
      </c>
      <c r="E96">
        <f>COUNTIF(THRESH_ABS,"&lt;="&amp;Q95)</f>
        <v>0</v>
      </c>
      <c r="F96">
        <f>(1+STEP)^(C96+D96)</f>
        <v>0</v>
      </c>
      <c r="G96">
        <f>P0_M2 * (1+INF_A)^(A96-1) * (1+PLUS_A)^(A96-1) * E96</f>
        <v>0</v>
      </c>
      <c r="H96">
        <f>F96 / (1+INF_A)^(A96-1)</f>
        <v>0</v>
      </c>
      <c r="I96">
        <f>F96 / PREF</f>
        <v>0</v>
      </c>
      <c r="J96">
        <f>H96 ^ EPS</f>
        <v>0</v>
      </c>
      <c r="K96">
        <f>THETA * B96 * I96</f>
        <v>0</v>
      </c>
      <c r="L96">
        <f>MIN(M95, J96 * CITY_A)</f>
        <v>0</v>
      </c>
      <c r="M96">
        <f>K96 * SIZE_M2</f>
        <v>0</v>
      </c>
      <c r="N96">
        <f>M95 - K96</f>
        <v>0</v>
      </c>
      <c r="O96">
        <f>SIZE_M2 * F96</f>
        <v>0</v>
      </c>
      <c r="P96">
        <f>L96 * F96</f>
        <v>0</v>
      </c>
      <c r="Q96">
        <f>O96 / (1+INF_A)^(A96-1)</f>
        <v>0</v>
      </c>
      <c r="R96">
        <f>Q95 + K96</f>
        <v>0</v>
      </c>
      <c r="S96">
        <f>INT((A96-1)/12)+1</f>
        <v>0</v>
      </c>
    </row>
    <row r="97" spans="1:19">
      <c r="A97">
        <v>96</v>
      </c>
      <c r="B97">
        <f>TEXT(DATEVALUE(START&amp;"-01")+ (ROW()-2),"yyyy-mm")</f>
        <v>0</v>
      </c>
      <c r="C97">
        <f>INDEX(SEASON_FACTORS,MOD(A97-1,12)+1)</f>
        <v>0</v>
      </c>
      <c r="D97">
        <f>INT((A97-1)/12)</f>
        <v>0</v>
      </c>
      <c r="E97">
        <f>COUNTIF(THRESH_ABS,"&lt;="&amp;Q96)</f>
        <v>0</v>
      </c>
      <c r="F97">
        <f>(1+STEP)^(C97+D97)</f>
        <v>0</v>
      </c>
      <c r="G97">
        <f>P0_M2 * (1+INF_A)^(A97-1) * (1+PLUS_A)^(A97-1) * E97</f>
        <v>0</v>
      </c>
      <c r="H97">
        <f>F97 / (1+INF_A)^(A97-1)</f>
        <v>0</v>
      </c>
      <c r="I97">
        <f>F97 / PREF</f>
        <v>0</v>
      </c>
      <c r="J97">
        <f>H97 ^ EPS</f>
        <v>0</v>
      </c>
      <c r="K97">
        <f>THETA * B97 * I97</f>
        <v>0</v>
      </c>
      <c r="L97">
        <f>MIN(M96, J97 * CITY_A)</f>
        <v>0</v>
      </c>
      <c r="M97">
        <f>K97 * SIZE_M2</f>
        <v>0</v>
      </c>
      <c r="N97">
        <f>M96 - K97</f>
        <v>0</v>
      </c>
      <c r="O97">
        <f>SIZE_M2 * F97</f>
        <v>0</v>
      </c>
      <c r="P97">
        <f>L97 * F97</f>
        <v>0</v>
      </c>
      <c r="Q97">
        <f>O97 / (1+INF_A)^(A97-1)</f>
        <v>0</v>
      </c>
      <c r="R97">
        <f>Q96 + K97</f>
        <v>0</v>
      </c>
      <c r="S97">
        <f>INT((A97-1)/12)+1</f>
        <v>0</v>
      </c>
    </row>
    <row r="98" spans="1:19">
      <c r="A98">
        <v>97</v>
      </c>
      <c r="B98">
        <f>TEXT(DATEVALUE(START&amp;"-01")+ (ROW()-2),"yyyy-mm")</f>
        <v>0</v>
      </c>
      <c r="C98">
        <f>INDEX(SEASON_FACTORS,MOD(A98-1,12)+1)</f>
        <v>0</v>
      </c>
      <c r="D98">
        <f>INT((A98-1)/12)</f>
        <v>0</v>
      </c>
      <c r="E98">
        <f>COUNTIF(THRESH_ABS,"&lt;="&amp;Q97)</f>
        <v>0</v>
      </c>
      <c r="F98">
        <f>(1+STEP)^(C98+D98)</f>
        <v>0</v>
      </c>
      <c r="G98">
        <f>P0_M2 * (1+INF_A)^(A98-1) * (1+PLUS_A)^(A98-1) * E98</f>
        <v>0</v>
      </c>
      <c r="H98">
        <f>F98 / (1+INF_A)^(A98-1)</f>
        <v>0</v>
      </c>
      <c r="I98">
        <f>F98 / PREF</f>
        <v>0</v>
      </c>
      <c r="J98">
        <f>H98 ^ EPS</f>
        <v>0</v>
      </c>
      <c r="K98">
        <f>THETA * B98 * I98</f>
        <v>0</v>
      </c>
      <c r="L98">
        <f>MIN(M97, J98 * CITY_A)</f>
        <v>0</v>
      </c>
      <c r="M98">
        <f>K98 * SIZE_M2</f>
        <v>0</v>
      </c>
      <c r="N98">
        <f>M97 - K98</f>
        <v>0</v>
      </c>
      <c r="O98">
        <f>SIZE_M2 * F98</f>
        <v>0</v>
      </c>
      <c r="P98">
        <f>L98 * F98</f>
        <v>0</v>
      </c>
      <c r="Q98">
        <f>O98 / (1+INF_A)^(A98-1)</f>
        <v>0</v>
      </c>
      <c r="R98">
        <f>Q97 + K98</f>
        <v>0</v>
      </c>
      <c r="S98">
        <f>INT((A98-1)/12)+1</f>
        <v>0</v>
      </c>
    </row>
    <row r="99" spans="1:19">
      <c r="A99">
        <v>98</v>
      </c>
      <c r="B99">
        <f>TEXT(DATEVALUE(START&amp;"-01")+ (ROW()-2),"yyyy-mm")</f>
        <v>0</v>
      </c>
      <c r="C99">
        <f>INDEX(SEASON_FACTORS,MOD(A99-1,12)+1)</f>
        <v>0</v>
      </c>
      <c r="D99">
        <f>INT((A99-1)/12)</f>
        <v>0</v>
      </c>
      <c r="E99">
        <f>COUNTIF(THRESH_ABS,"&lt;="&amp;Q98)</f>
        <v>0</v>
      </c>
      <c r="F99">
        <f>(1+STEP)^(C99+D99)</f>
        <v>0</v>
      </c>
      <c r="G99">
        <f>P0_M2 * (1+INF_A)^(A99-1) * (1+PLUS_A)^(A99-1) * E99</f>
        <v>0</v>
      </c>
      <c r="H99">
        <f>F99 / (1+INF_A)^(A99-1)</f>
        <v>0</v>
      </c>
      <c r="I99">
        <f>F99 / PREF</f>
        <v>0</v>
      </c>
      <c r="J99">
        <f>H99 ^ EPS</f>
        <v>0</v>
      </c>
      <c r="K99">
        <f>THETA * B99 * I99</f>
        <v>0</v>
      </c>
      <c r="L99">
        <f>MIN(M98, J99 * CITY_A)</f>
        <v>0</v>
      </c>
      <c r="M99">
        <f>K99 * SIZE_M2</f>
        <v>0</v>
      </c>
      <c r="N99">
        <f>M98 - K99</f>
        <v>0</v>
      </c>
      <c r="O99">
        <f>SIZE_M2 * F99</f>
        <v>0</v>
      </c>
      <c r="P99">
        <f>L99 * F99</f>
        <v>0</v>
      </c>
      <c r="Q99">
        <f>O99 / (1+INF_A)^(A99-1)</f>
        <v>0</v>
      </c>
      <c r="R99">
        <f>Q98 + K99</f>
        <v>0</v>
      </c>
      <c r="S99">
        <f>INT((A99-1)/12)+1</f>
        <v>0</v>
      </c>
    </row>
    <row r="100" spans="1:19">
      <c r="A100">
        <v>99</v>
      </c>
      <c r="B100">
        <f>TEXT(DATEVALUE(START&amp;"-01")+ (ROW()-2),"yyyy-mm")</f>
        <v>0</v>
      </c>
      <c r="C100">
        <f>INDEX(SEASON_FACTORS,MOD(A100-1,12)+1)</f>
        <v>0</v>
      </c>
      <c r="D100">
        <f>INT((A100-1)/12)</f>
        <v>0</v>
      </c>
      <c r="E100">
        <f>COUNTIF(THRESH_ABS,"&lt;="&amp;Q99)</f>
        <v>0</v>
      </c>
      <c r="F100">
        <f>(1+STEP)^(C100+D100)</f>
        <v>0</v>
      </c>
      <c r="G100">
        <f>P0_M2 * (1+INF_A)^(A100-1) * (1+PLUS_A)^(A100-1) * E100</f>
        <v>0</v>
      </c>
      <c r="H100">
        <f>F100 / (1+INF_A)^(A100-1)</f>
        <v>0</v>
      </c>
      <c r="I100">
        <f>F100 / PREF</f>
        <v>0</v>
      </c>
      <c r="J100">
        <f>H100 ^ EPS</f>
        <v>0</v>
      </c>
      <c r="K100">
        <f>THETA * B100 * I100</f>
        <v>0</v>
      </c>
      <c r="L100">
        <f>MIN(M99, J100 * CITY_A)</f>
        <v>0</v>
      </c>
      <c r="M100">
        <f>K100 * SIZE_M2</f>
        <v>0</v>
      </c>
      <c r="N100">
        <f>M99 - K100</f>
        <v>0</v>
      </c>
      <c r="O100">
        <f>SIZE_M2 * F100</f>
        <v>0</v>
      </c>
      <c r="P100">
        <f>L100 * F100</f>
        <v>0</v>
      </c>
      <c r="Q100">
        <f>O100 / (1+INF_A)^(A100-1)</f>
        <v>0</v>
      </c>
      <c r="R100">
        <f>Q99 + K100</f>
        <v>0</v>
      </c>
      <c r="S100">
        <f>INT((A100-1)/12)+1</f>
        <v>0</v>
      </c>
    </row>
    <row r="101" spans="1:19">
      <c r="A101">
        <v>100</v>
      </c>
      <c r="B101">
        <f>TEXT(DATEVALUE(START&amp;"-01")+ (ROW()-2),"yyyy-mm")</f>
        <v>0</v>
      </c>
      <c r="C101">
        <f>INDEX(SEASON_FACTORS,MOD(A101-1,12)+1)</f>
        <v>0</v>
      </c>
      <c r="D101">
        <f>INT((A101-1)/12)</f>
        <v>0</v>
      </c>
      <c r="E101">
        <f>COUNTIF(THRESH_ABS,"&lt;="&amp;Q100)</f>
        <v>0</v>
      </c>
      <c r="F101">
        <f>(1+STEP)^(C101+D101)</f>
        <v>0</v>
      </c>
      <c r="G101">
        <f>P0_M2 * (1+INF_A)^(A101-1) * (1+PLUS_A)^(A101-1) * E101</f>
        <v>0</v>
      </c>
      <c r="H101">
        <f>F101 / (1+INF_A)^(A101-1)</f>
        <v>0</v>
      </c>
      <c r="I101">
        <f>F101 / PREF</f>
        <v>0</v>
      </c>
      <c r="J101">
        <f>H101 ^ EPS</f>
        <v>0</v>
      </c>
      <c r="K101">
        <f>THETA * B101 * I101</f>
        <v>0</v>
      </c>
      <c r="L101">
        <f>MIN(M100, J101 * CITY_A)</f>
        <v>0</v>
      </c>
      <c r="M101">
        <f>K101 * SIZE_M2</f>
        <v>0</v>
      </c>
      <c r="N101">
        <f>M100 - K101</f>
        <v>0</v>
      </c>
      <c r="O101">
        <f>SIZE_M2 * F101</f>
        <v>0</v>
      </c>
      <c r="P101">
        <f>L101 * F101</f>
        <v>0</v>
      </c>
      <c r="Q101">
        <f>O101 / (1+INF_A)^(A101-1)</f>
        <v>0</v>
      </c>
      <c r="R101">
        <f>Q100 + K101</f>
        <v>0</v>
      </c>
      <c r="S101">
        <f>INT((A101-1)/12)+1</f>
        <v>0</v>
      </c>
    </row>
    <row r="102" spans="1:19">
      <c r="A102">
        <v>101</v>
      </c>
      <c r="B102">
        <f>TEXT(DATEVALUE(START&amp;"-01")+ (ROW()-2),"yyyy-mm")</f>
        <v>0</v>
      </c>
      <c r="C102">
        <f>INDEX(SEASON_FACTORS,MOD(A102-1,12)+1)</f>
        <v>0</v>
      </c>
      <c r="D102">
        <f>INT((A102-1)/12)</f>
        <v>0</v>
      </c>
      <c r="E102">
        <f>COUNTIF(THRESH_ABS,"&lt;="&amp;Q101)</f>
        <v>0</v>
      </c>
      <c r="F102">
        <f>(1+STEP)^(C102+D102)</f>
        <v>0</v>
      </c>
      <c r="G102">
        <f>P0_M2 * (1+INF_A)^(A102-1) * (1+PLUS_A)^(A102-1) * E102</f>
        <v>0</v>
      </c>
      <c r="H102">
        <f>F102 / (1+INF_A)^(A102-1)</f>
        <v>0</v>
      </c>
      <c r="I102">
        <f>F102 / PREF</f>
        <v>0</v>
      </c>
      <c r="J102">
        <f>H102 ^ EPS</f>
        <v>0</v>
      </c>
      <c r="K102">
        <f>THETA * B102 * I102</f>
        <v>0</v>
      </c>
      <c r="L102">
        <f>MIN(M101, J102 * CITY_A)</f>
        <v>0</v>
      </c>
      <c r="M102">
        <f>K102 * SIZE_M2</f>
        <v>0</v>
      </c>
      <c r="N102">
        <f>M101 - K102</f>
        <v>0</v>
      </c>
      <c r="O102">
        <f>SIZE_M2 * F102</f>
        <v>0</v>
      </c>
      <c r="P102">
        <f>L102 * F102</f>
        <v>0</v>
      </c>
      <c r="Q102">
        <f>O102 / (1+INF_A)^(A102-1)</f>
        <v>0</v>
      </c>
      <c r="R102">
        <f>Q101 + K102</f>
        <v>0</v>
      </c>
      <c r="S102">
        <f>INT((A102-1)/12)+1</f>
        <v>0</v>
      </c>
    </row>
    <row r="103" spans="1:19">
      <c r="A103">
        <v>102</v>
      </c>
      <c r="B103">
        <f>TEXT(DATEVALUE(START&amp;"-01")+ (ROW()-2),"yyyy-mm")</f>
        <v>0</v>
      </c>
      <c r="C103">
        <f>INDEX(SEASON_FACTORS,MOD(A103-1,12)+1)</f>
        <v>0</v>
      </c>
      <c r="D103">
        <f>INT((A103-1)/12)</f>
        <v>0</v>
      </c>
      <c r="E103">
        <f>COUNTIF(THRESH_ABS,"&lt;="&amp;Q102)</f>
        <v>0</v>
      </c>
      <c r="F103">
        <f>(1+STEP)^(C103+D103)</f>
        <v>0</v>
      </c>
      <c r="G103">
        <f>P0_M2 * (1+INF_A)^(A103-1) * (1+PLUS_A)^(A103-1) * E103</f>
        <v>0</v>
      </c>
      <c r="H103">
        <f>F103 / (1+INF_A)^(A103-1)</f>
        <v>0</v>
      </c>
      <c r="I103">
        <f>F103 / PREF</f>
        <v>0</v>
      </c>
      <c r="J103">
        <f>H103 ^ EPS</f>
        <v>0</v>
      </c>
      <c r="K103">
        <f>THETA * B103 * I103</f>
        <v>0</v>
      </c>
      <c r="L103">
        <f>MIN(M102, J103 * CITY_A)</f>
        <v>0</v>
      </c>
      <c r="M103">
        <f>K103 * SIZE_M2</f>
        <v>0</v>
      </c>
      <c r="N103">
        <f>M102 - K103</f>
        <v>0</v>
      </c>
      <c r="O103">
        <f>SIZE_M2 * F103</f>
        <v>0</v>
      </c>
      <c r="P103">
        <f>L103 * F103</f>
        <v>0</v>
      </c>
      <c r="Q103">
        <f>O103 / (1+INF_A)^(A103-1)</f>
        <v>0</v>
      </c>
      <c r="R103">
        <f>Q102 + K103</f>
        <v>0</v>
      </c>
      <c r="S103">
        <f>INT((A103-1)/12)+1</f>
        <v>0</v>
      </c>
    </row>
    <row r="104" spans="1:19">
      <c r="A104">
        <v>103</v>
      </c>
      <c r="B104">
        <f>TEXT(DATEVALUE(START&amp;"-01")+ (ROW()-2),"yyyy-mm")</f>
        <v>0</v>
      </c>
      <c r="C104">
        <f>INDEX(SEASON_FACTORS,MOD(A104-1,12)+1)</f>
        <v>0</v>
      </c>
      <c r="D104">
        <f>INT((A104-1)/12)</f>
        <v>0</v>
      </c>
      <c r="E104">
        <f>COUNTIF(THRESH_ABS,"&lt;="&amp;Q103)</f>
        <v>0</v>
      </c>
      <c r="F104">
        <f>(1+STEP)^(C104+D104)</f>
        <v>0</v>
      </c>
      <c r="G104">
        <f>P0_M2 * (1+INF_A)^(A104-1) * (1+PLUS_A)^(A104-1) * E104</f>
        <v>0</v>
      </c>
      <c r="H104">
        <f>F104 / (1+INF_A)^(A104-1)</f>
        <v>0</v>
      </c>
      <c r="I104">
        <f>F104 / PREF</f>
        <v>0</v>
      </c>
      <c r="J104">
        <f>H104 ^ EPS</f>
        <v>0</v>
      </c>
      <c r="K104">
        <f>THETA * B104 * I104</f>
        <v>0</v>
      </c>
      <c r="L104">
        <f>MIN(M103, J104 * CITY_A)</f>
        <v>0</v>
      </c>
      <c r="M104">
        <f>K104 * SIZE_M2</f>
        <v>0</v>
      </c>
      <c r="N104">
        <f>M103 - K104</f>
        <v>0</v>
      </c>
      <c r="O104">
        <f>SIZE_M2 * F104</f>
        <v>0</v>
      </c>
      <c r="P104">
        <f>L104 * F104</f>
        <v>0</v>
      </c>
      <c r="Q104">
        <f>O104 / (1+INF_A)^(A104-1)</f>
        <v>0</v>
      </c>
      <c r="R104">
        <f>Q103 + K104</f>
        <v>0</v>
      </c>
      <c r="S104">
        <f>INT((A104-1)/12)+1</f>
        <v>0</v>
      </c>
    </row>
    <row r="105" spans="1:19">
      <c r="A105">
        <v>104</v>
      </c>
      <c r="B105">
        <f>TEXT(DATEVALUE(START&amp;"-01")+ (ROW()-2),"yyyy-mm")</f>
        <v>0</v>
      </c>
      <c r="C105">
        <f>INDEX(SEASON_FACTORS,MOD(A105-1,12)+1)</f>
        <v>0</v>
      </c>
      <c r="D105">
        <f>INT((A105-1)/12)</f>
        <v>0</v>
      </c>
      <c r="E105">
        <f>COUNTIF(THRESH_ABS,"&lt;="&amp;Q104)</f>
        <v>0</v>
      </c>
      <c r="F105">
        <f>(1+STEP)^(C105+D105)</f>
        <v>0</v>
      </c>
      <c r="G105">
        <f>P0_M2 * (1+INF_A)^(A105-1) * (1+PLUS_A)^(A105-1) * E105</f>
        <v>0</v>
      </c>
      <c r="H105">
        <f>F105 / (1+INF_A)^(A105-1)</f>
        <v>0</v>
      </c>
      <c r="I105">
        <f>F105 / PREF</f>
        <v>0</v>
      </c>
      <c r="J105">
        <f>H105 ^ EPS</f>
        <v>0</v>
      </c>
      <c r="K105">
        <f>THETA * B105 * I105</f>
        <v>0</v>
      </c>
      <c r="L105">
        <f>MIN(M104, J105 * CITY_A)</f>
        <v>0</v>
      </c>
      <c r="M105">
        <f>K105 * SIZE_M2</f>
        <v>0</v>
      </c>
      <c r="N105">
        <f>M104 - K105</f>
        <v>0</v>
      </c>
      <c r="O105">
        <f>SIZE_M2 * F105</f>
        <v>0</v>
      </c>
      <c r="P105">
        <f>L105 * F105</f>
        <v>0</v>
      </c>
      <c r="Q105">
        <f>O105 / (1+INF_A)^(A105-1)</f>
        <v>0</v>
      </c>
      <c r="R105">
        <f>Q104 + K105</f>
        <v>0</v>
      </c>
      <c r="S105">
        <f>INT((A105-1)/12)+1</f>
        <v>0</v>
      </c>
    </row>
    <row r="106" spans="1:19">
      <c r="A106">
        <v>105</v>
      </c>
      <c r="B106">
        <f>TEXT(DATEVALUE(START&amp;"-01")+ (ROW()-2),"yyyy-mm")</f>
        <v>0</v>
      </c>
      <c r="C106">
        <f>INDEX(SEASON_FACTORS,MOD(A106-1,12)+1)</f>
        <v>0</v>
      </c>
      <c r="D106">
        <f>INT((A106-1)/12)</f>
        <v>0</v>
      </c>
      <c r="E106">
        <f>COUNTIF(THRESH_ABS,"&lt;="&amp;Q105)</f>
        <v>0</v>
      </c>
      <c r="F106">
        <f>(1+STEP)^(C106+D106)</f>
        <v>0</v>
      </c>
      <c r="G106">
        <f>P0_M2 * (1+INF_A)^(A106-1) * (1+PLUS_A)^(A106-1) * E106</f>
        <v>0</v>
      </c>
      <c r="H106">
        <f>F106 / (1+INF_A)^(A106-1)</f>
        <v>0</v>
      </c>
      <c r="I106">
        <f>F106 / PREF</f>
        <v>0</v>
      </c>
      <c r="J106">
        <f>H106 ^ EPS</f>
        <v>0</v>
      </c>
      <c r="K106">
        <f>THETA * B106 * I106</f>
        <v>0</v>
      </c>
      <c r="L106">
        <f>MIN(M105, J106 * CITY_A)</f>
        <v>0</v>
      </c>
      <c r="M106">
        <f>K106 * SIZE_M2</f>
        <v>0</v>
      </c>
      <c r="N106">
        <f>M105 - K106</f>
        <v>0</v>
      </c>
      <c r="O106">
        <f>SIZE_M2 * F106</f>
        <v>0</v>
      </c>
      <c r="P106">
        <f>L106 * F106</f>
        <v>0</v>
      </c>
      <c r="Q106">
        <f>O106 / (1+INF_A)^(A106-1)</f>
        <v>0</v>
      </c>
      <c r="R106">
        <f>Q105 + K106</f>
        <v>0</v>
      </c>
      <c r="S106">
        <f>INT((A106-1)/12)+1</f>
        <v>0</v>
      </c>
    </row>
    <row r="107" spans="1:19">
      <c r="A107">
        <v>106</v>
      </c>
      <c r="B107">
        <f>TEXT(DATEVALUE(START&amp;"-01")+ (ROW()-2),"yyyy-mm")</f>
        <v>0</v>
      </c>
      <c r="C107">
        <f>INDEX(SEASON_FACTORS,MOD(A107-1,12)+1)</f>
        <v>0</v>
      </c>
      <c r="D107">
        <f>INT((A107-1)/12)</f>
        <v>0</v>
      </c>
      <c r="E107">
        <f>COUNTIF(THRESH_ABS,"&lt;="&amp;Q106)</f>
        <v>0</v>
      </c>
      <c r="F107">
        <f>(1+STEP)^(C107+D107)</f>
        <v>0</v>
      </c>
      <c r="G107">
        <f>P0_M2 * (1+INF_A)^(A107-1) * (1+PLUS_A)^(A107-1) * E107</f>
        <v>0</v>
      </c>
      <c r="H107">
        <f>F107 / (1+INF_A)^(A107-1)</f>
        <v>0</v>
      </c>
      <c r="I107">
        <f>F107 / PREF</f>
        <v>0</v>
      </c>
      <c r="J107">
        <f>H107 ^ EPS</f>
        <v>0</v>
      </c>
      <c r="K107">
        <f>THETA * B107 * I107</f>
        <v>0</v>
      </c>
      <c r="L107">
        <f>MIN(M106, J107 * CITY_A)</f>
        <v>0</v>
      </c>
      <c r="M107">
        <f>K107 * SIZE_M2</f>
        <v>0</v>
      </c>
      <c r="N107">
        <f>M106 - K107</f>
        <v>0</v>
      </c>
      <c r="O107">
        <f>SIZE_M2 * F107</f>
        <v>0</v>
      </c>
      <c r="P107">
        <f>L107 * F107</f>
        <v>0</v>
      </c>
      <c r="Q107">
        <f>O107 / (1+INF_A)^(A107-1)</f>
        <v>0</v>
      </c>
      <c r="R107">
        <f>Q106 + K107</f>
        <v>0</v>
      </c>
      <c r="S107">
        <f>INT((A107-1)/12)+1</f>
        <v>0</v>
      </c>
    </row>
    <row r="108" spans="1:19">
      <c r="A108">
        <v>107</v>
      </c>
      <c r="B108">
        <f>TEXT(DATEVALUE(START&amp;"-01")+ (ROW()-2),"yyyy-mm")</f>
        <v>0</v>
      </c>
      <c r="C108">
        <f>INDEX(SEASON_FACTORS,MOD(A108-1,12)+1)</f>
        <v>0</v>
      </c>
      <c r="D108">
        <f>INT((A108-1)/12)</f>
        <v>0</v>
      </c>
      <c r="E108">
        <f>COUNTIF(THRESH_ABS,"&lt;="&amp;Q107)</f>
        <v>0</v>
      </c>
      <c r="F108">
        <f>(1+STEP)^(C108+D108)</f>
        <v>0</v>
      </c>
      <c r="G108">
        <f>P0_M2 * (1+INF_A)^(A108-1) * (1+PLUS_A)^(A108-1) * E108</f>
        <v>0</v>
      </c>
      <c r="H108">
        <f>F108 / (1+INF_A)^(A108-1)</f>
        <v>0</v>
      </c>
      <c r="I108">
        <f>F108 / PREF</f>
        <v>0</v>
      </c>
      <c r="J108">
        <f>H108 ^ EPS</f>
        <v>0</v>
      </c>
      <c r="K108">
        <f>THETA * B108 * I108</f>
        <v>0</v>
      </c>
      <c r="L108">
        <f>MIN(M107, J108 * CITY_A)</f>
        <v>0</v>
      </c>
      <c r="M108">
        <f>K108 * SIZE_M2</f>
        <v>0</v>
      </c>
      <c r="N108">
        <f>M107 - K108</f>
        <v>0</v>
      </c>
      <c r="O108">
        <f>SIZE_M2 * F108</f>
        <v>0</v>
      </c>
      <c r="P108">
        <f>L108 * F108</f>
        <v>0</v>
      </c>
      <c r="Q108">
        <f>O108 / (1+INF_A)^(A108-1)</f>
        <v>0</v>
      </c>
      <c r="R108">
        <f>Q107 + K108</f>
        <v>0</v>
      </c>
      <c r="S108">
        <f>INT((A108-1)/12)+1</f>
        <v>0</v>
      </c>
    </row>
    <row r="109" spans="1:19">
      <c r="A109">
        <v>108</v>
      </c>
      <c r="B109">
        <f>TEXT(DATEVALUE(START&amp;"-01")+ (ROW()-2),"yyyy-mm")</f>
        <v>0</v>
      </c>
      <c r="C109">
        <f>INDEX(SEASON_FACTORS,MOD(A109-1,12)+1)</f>
        <v>0</v>
      </c>
      <c r="D109">
        <f>INT((A109-1)/12)</f>
        <v>0</v>
      </c>
      <c r="E109">
        <f>COUNTIF(THRESH_ABS,"&lt;="&amp;Q108)</f>
        <v>0</v>
      </c>
      <c r="F109">
        <f>(1+STEP)^(C109+D109)</f>
        <v>0</v>
      </c>
      <c r="G109">
        <f>P0_M2 * (1+INF_A)^(A109-1) * (1+PLUS_A)^(A109-1) * E109</f>
        <v>0</v>
      </c>
      <c r="H109">
        <f>F109 / (1+INF_A)^(A109-1)</f>
        <v>0</v>
      </c>
      <c r="I109">
        <f>F109 / PREF</f>
        <v>0</v>
      </c>
      <c r="J109">
        <f>H109 ^ EPS</f>
        <v>0</v>
      </c>
      <c r="K109">
        <f>THETA * B109 * I109</f>
        <v>0</v>
      </c>
      <c r="L109">
        <f>MIN(M108, J109 * CITY_A)</f>
        <v>0</v>
      </c>
      <c r="M109">
        <f>K109 * SIZE_M2</f>
        <v>0</v>
      </c>
      <c r="N109">
        <f>M108 - K109</f>
        <v>0</v>
      </c>
      <c r="O109">
        <f>SIZE_M2 * F109</f>
        <v>0</v>
      </c>
      <c r="P109">
        <f>L109 * F109</f>
        <v>0</v>
      </c>
      <c r="Q109">
        <f>O109 / (1+INF_A)^(A109-1)</f>
        <v>0</v>
      </c>
      <c r="R109">
        <f>Q108 + K109</f>
        <v>0</v>
      </c>
      <c r="S109">
        <f>INT((A109-1)/12)+1</f>
        <v>0</v>
      </c>
    </row>
    <row r="110" spans="1:19">
      <c r="A110">
        <v>109</v>
      </c>
      <c r="B110">
        <f>TEXT(DATEVALUE(START&amp;"-01")+ (ROW()-2),"yyyy-mm")</f>
        <v>0</v>
      </c>
      <c r="C110">
        <f>INDEX(SEASON_FACTORS,MOD(A110-1,12)+1)</f>
        <v>0</v>
      </c>
      <c r="D110">
        <f>INT((A110-1)/12)</f>
        <v>0</v>
      </c>
      <c r="E110">
        <f>COUNTIF(THRESH_ABS,"&lt;="&amp;Q109)</f>
        <v>0</v>
      </c>
      <c r="F110">
        <f>(1+STEP)^(C110+D110)</f>
        <v>0</v>
      </c>
      <c r="G110">
        <f>P0_M2 * (1+INF_A)^(A110-1) * (1+PLUS_A)^(A110-1) * E110</f>
        <v>0</v>
      </c>
      <c r="H110">
        <f>F110 / (1+INF_A)^(A110-1)</f>
        <v>0</v>
      </c>
      <c r="I110">
        <f>F110 / PREF</f>
        <v>0</v>
      </c>
      <c r="J110">
        <f>H110 ^ EPS</f>
        <v>0</v>
      </c>
      <c r="K110">
        <f>THETA * B110 * I110</f>
        <v>0</v>
      </c>
      <c r="L110">
        <f>MIN(M109, J110 * CITY_A)</f>
        <v>0</v>
      </c>
      <c r="M110">
        <f>K110 * SIZE_M2</f>
        <v>0</v>
      </c>
      <c r="N110">
        <f>M109 - K110</f>
        <v>0</v>
      </c>
      <c r="O110">
        <f>SIZE_M2 * F110</f>
        <v>0</v>
      </c>
      <c r="P110">
        <f>L110 * F110</f>
        <v>0</v>
      </c>
      <c r="Q110">
        <f>O110 / (1+INF_A)^(A110-1)</f>
        <v>0</v>
      </c>
      <c r="R110">
        <f>Q109 + K110</f>
        <v>0</v>
      </c>
      <c r="S110">
        <f>INT((A110-1)/12)+1</f>
        <v>0</v>
      </c>
    </row>
    <row r="111" spans="1:19">
      <c r="A111">
        <v>110</v>
      </c>
      <c r="B111">
        <f>TEXT(DATEVALUE(START&amp;"-01")+ (ROW()-2),"yyyy-mm")</f>
        <v>0</v>
      </c>
      <c r="C111">
        <f>INDEX(SEASON_FACTORS,MOD(A111-1,12)+1)</f>
        <v>0</v>
      </c>
      <c r="D111">
        <f>INT((A111-1)/12)</f>
        <v>0</v>
      </c>
      <c r="E111">
        <f>COUNTIF(THRESH_ABS,"&lt;="&amp;Q110)</f>
        <v>0</v>
      </c>
      <c r="F111">
        <f>(1+STEP)^(C111+D111)</f>
        <v>0</v>
      </c>
      <c r="G111">
        <f>P0_M2 * (1+INF_A)^(A111-1) * (1+PLUS_A)^(A111-1) * E111</f>
        <v>0</v>
      </c>
      <c r="H111">
        <f>F111 / (1+INF_A)^(A111-1)</f>
        <v>0</v>
      </c>
      <c r="I111">
        <f>F111 / PREF</f>
        <v>0</v>
      </c>
      <c r="J111">
        <f>H111 ^ EPS</f>
        <v>0</v>
      </c>
      <c r="K111">
        <f>THETA * B111 * I111</f>
        <v>0</v>
      </c>
      <c r="L111">
        <f>MIN(M110, J111 * CITY_A)</f>
        <v>0</v>
      </c>
      <c r="M111">
        <f>K111 * SIZE_M2</f>
        <v>0</v>
      </c>
      <c r="N111">
        <f>M110 - K111</f>
        <v>0</v>
      </c>
      <c r="O111">
        <f>SIZE_M2 * F111</f>
        <v>0</v>
      </c>
      <c r="P111">
        <f>L111 * F111</f>
        <v>0</v>
      </c>
      <c r="Q111">
        <f>O111 / (1+INF_A)^(A111-1)</f>
        <v>0</v>
      </c>
      <c r="R111">
        <f>Q110 + K111</f>
        <v>0</v>
      </c>
      <c r="S111">
        <f>INT((A111-1)/12)+1</f>
        <v>0</v>
      </c>
    </row>
    <row r="112" spans="1:19">
      <c r="A112">
        <v>111</v>
      </c>
      <c r="B112">
        <f>TEXT(DATEVALUE(START&amp;"-01")+ (ROW()-2),"yyyy-mm")</f>
        <v>0</v>
      </c>
      <c r="C112">
        <f>INDEX(SEASON_FACTORS,MOD(A112-1,12)+1)</f>
        <v>0</v>
      </c>
      <c r="D112">
        <f>INT((A112-1)/12)</f>
        <v>0</v>
      </c>
      <c r="E112">
        <f>COUNTIF(THRESH_ABS,"&lt;="&amp;Q111)</f>
        <v>0</v>
      </c>
      <c r="F112">
        <f>(1+STEP)^(C112+D112)</f>
        <v>0</v>
      </c>
      <c r="G112">
        <f>P0_M2 * (1+INF_A)^(A112-1) * (1+PLUS_A)^(A112-1) * E112</f>
        <v>0</v>
      </c>
      <c r="H112">
        <f>F112 / (1+INF_A)^(A112-1)</f>
        <v>0</v>
      </c>
      <c r="I112">
        <f>F112 / PREF</f>
        <v>0</v>
      </c>
      <c r="J112">
        <f>H112 ^ EPS</f>
        <v>0</v>
      </c>
      <c r="K112">
        <f>THETA * B112 * I112</f>
        <v>0</v>
      </c>
      <c r="L112">
        <f>MIN(M111, J112 * CITY_A)</f>
        <v>0</v>
      </c>
      <c r="M112">
        <f>K112 * SIZE_M2</f>
        <v>0</v>
      </c>
      <c r="N112">
        <f>M111 - K112</f>
        <v>0</v>
      </c>
      <c r="O112">
        <f>SIZE_M2 * F112</f>
        <v>0</v>
      </c>
      <c r="P112">
        <f>L112 * F112</f>
        <v>0</v>
      </c>
      <c r="Q112">
        <f>O112 / (1+INF_A)^(A112-1)</f>
        <v>0</v>
      </c>
      <c r="R112">
        <f>Q111 + K112</f>
        <v>0</v>
      </c>
      <c r="S112">
        <f>INT((A112-1)/12)+1</f>
        <v>0</v>
      </c>
    </row>
    <row r="113" spans="1:19">
      <c r="A113">
        <v>112</v>
      </c>
      <c r="B113">
        <f>TEXT(DATEVALUE(START&amp;"-01")+ (ROW()-2),"yyyy-mm")</f>
        <v>0</v>
      </c>
      <c r="C113">
        <f>INDEX(SEASON_FACTORS,MOD(A113-1,12)+1)</f>
        <v>0</v>
      </c>
      <c r="D113">
        <f>INT((A113-1)/12)</f>
        <v>0</v>
      </c>
      <c r="E113">
        <f>COUNTIF(THRESH_ABS,"&lt;="&amp;Q112)</f>
        <v>0</v>
      </c>
      <c r="F113">
        <f>(1+STEP)^(C113+D113)</f>
        <v>0</v>
      </c>
      <c r="G113">
        <f>P0_M2 * (1+INF_A)^(A113-1) * (1+PLUS_A)^(A113-1) * E113</f>
        <v>0</v>
      </c>
      <c r="H113">
        <f>F113 / (1+INF_A)^(A113-1)</f>
        <v>0</v>
      </c>
      <c r="I113">
        <f>F113 / PREF</f>
        <v>0</v>
      </c>
      <c r="J113">
        <f>H113 ^ EPS</f>
        <v>0</v>
      </c>
      <c r="K113">
        <f>THETA * B113 * I113</f>
        <v>0</v>
      </c>
      <c r="L113">
        <f>MIN(M112, J113 * CITY_A)</f>
        <v>0</v>
      </c>
      <c r="M113">
        <f>K113 * SIZE_M2</f>
        <v>0</v>
      </c>
      <c r="N113">
        <f>M112 - K113</f>
        <v>0</v>
      </c>
      <c r="O113">
        <f>SIZE_M2 * F113</f>
        <v>0</v>
      </c>
      <c r="P113">
        <f>L113 * F113</f>
        <v>0</v>
      </c>
      <c r="Q113">
        <f>O113 / (1+INF_A)^(A113-1)</f>
        <v>0</v>
      </c>
      <c r="R113">
        <f>Q112 + K113</f>
        <v>0</v>
      </c>
      <c r="S113">
        <f>INT((A113-1)/12)+1</f>
        <v>0</v>
      </c>
    </row>
    <row r="114" spans="1:19">
      <c r="A114">
        <v>113</v>
      </c>
      <c r="B114">
        <f>TEXT(DATEVALUE(START&amp;"-01")+ (ROW()-2),"yyyy-mm")</f>
        <v>0</v>
      </c>
      <c r="C114">
        <f>INDEX(SEASON_FACTORS,MOD(A114-1,12)+1)</f>
        <v>0</v>
      </c>
      <c r="D114">
        <f>INT((A114-1)/12)</f>
        <v>0</v>
      </c>
      <c r="E114">
        <f>COUNTIF(THRESH_ABS,"&lt;="&amp;Q113)</f>
        <v>0</v>
      </c>
      <c r="F114">
        <f>(1+STEP)^(C114+D114)</f>
        <v>0</v>
      </c>
      <c r="G114">
        <f>P0_M2 * (1+INF_A)^(A114-1) * (1+PLUS_A)^(A114-1) * E114</f>
        <v>0</v>
      </c>
      <c r="H114">
        <f>F114 / (1+INF_A)^(A114-1)</f>
        <v>0</v>
      </c>
      <c r="I114">
        <f>F114 / PREF</f>
        <v>0</v>
      </c>
      <c r="J114">
        <f>H114 ^ EPS</f>
        <v>0</v>
      </c>
      <c r="K114">
        <f>THETA * B114 * I114</f>
        <v>0</v>
      </c>
      <c r="L114">
        <f>MIN(M113, J114 * CITY_A)</f>
        <v>0</v>
      </c>
      <c r="M114">
        <f>K114 * SIZE_M2</f>
        <v>0</v>
      </c>
      <c r="N114">
        <f>M113 - K114</f>
        <v>0</v>
      </c>
      <c r="O114">
        <f>SIZE_M2 * F114</f>
        <v>0</v>
      </c>
      <c r="P114">
        <f>L114 * F114</f>
        <v>0</v>
      </c>
      <c r="Q114">
        <f>O114 / (1+INF_A)^(A114-1)</f>
        <v>0</v>
      </c>
      <c r="R114">
        <f>Q113 + K114</f>
        <v>0</v>
      </c>
      <c r="S114">
        <f>INT((A114-1)/12)+1</f>
        <v>0</v>
      </c>
    </row>
    <row r="115" spans="1:19">
      <c r="A115">
        <v>114</v>
      </c>
      <c r="B115">
        <f>TEXT(DATEVALUE(START&amp;"-01")+ (ROW()-2),"yyyy-mm")</f>
        <v>0</v>
      </c>
      <c r="C115">
        <f>INDEX(SEASON_FACTORS,MOD(A115-1,12)+1)</f>
        <v>0</v>
      </c>
      <c r="D115">
        <f>INT((A115-1)/12)</f>
        <v>0</v>
      </c>
      <c r="E115">
        <f>COUNTIF(THRESH_ABS,"&lt;="&amp;Q114)</f>
        <v>0</v>
      </c>
      <c r="F115">
        <f>(1+STEP)^(C115+D115)</f>
        <v>0</v>
      </c>
      <c r="G115">
        <f>P0_M2 * (1+INF_A)^(A115-1) * (1+PLUS_A)^(A115-1) * E115</f>
        <v>0</v>
      </c>
      <c r="H115">
        <f>F115 / (1+INF_A)^(A115-1)</f>
        <v>0</v>
      </c>
      <c r="I115">
        <f>F115 / PREF</f>
        <v>0</v>
      </c>
      <c r="J115">
        <f>H115 ^ EPS</f>
        <v>0</v>
      </c>
      <c r="K115">
        <f>THETA * B115 * I115</f>
        <v>0</v>
      </c>
      <c r="L115">
        <f>MIN(M114, J115 * CITY_A)</f>
        <v>0</v>
      </c>
      <c r="M115">
        <f>K115 * SIZE_M2</f>
        <v>0</v>
      </c>
      <c r="N115">
        <f>M114 - K115</f>
        <v>0</v>
      </c>
      <c r="O115">
        <f>SIZE_M2 * F115</f>
        <v>0</v>
      </c>
      <c r="P115">
        <f>L115 * F115</f>
        <v>0</v>
      </c>
      <c r="Q115">
        <f>O115 / (1+INF_A)^(A115-1)</f>
        <v>0</v>
      </c>
      <c r="R115">
        <f>Q114 + K115</f>
        <v>0</v>
      </c>
      <c r="S115">
        <f>INT((A115-1)/12)+1</f>
        <v>0</v>
      </c>
    </row>
    <row r="116" spans="1:19">
      <c r="A116">
        <v>115</v>
      </c>
      <c r="B116">
        <f>TEXT(DATEVALUE(START&amp;"-01")+ (ROW()-2),"yyyy-mm")</f>
        <v>0</v>
      </c>
      <c r="C116">
        <f>INDEX(SEASON_FACTORS,MOD(A116-1,12)+1)</f>
        <v>0</v>
      </c>
      <c r="D116">
        <f>INT((A116-1)/12)</f>
        <v>0</v>
      </c>
      <c r="E116">
        <f>COUNTIF(THRESH_ABS,"&lt;="&amp;Q115)</f>
        <v>0</v>
      </c>
      <c r="F116">
        <f>(1+STEP)^(C116+D116)</f>
        <v>0</v>
      </c>
      <c r="G116">
        <f>P0_M2 * (1+INF_A)^(A116-1) * (1+PLUS_A)^(A116-1) * E116</f>
        <v>0</v>
      </c>
      <c r="H116">
        <f>F116 / (1+INF_A)^(A116-1)</f>
        <v>0</v>
      </c>
      <c r="I116">
        <f>F116 / PREF</f>
        <v>0</v>
      </c>
      <c r="J116">
        <f>H116 ^ EPS</f>
        <v>0</v>
      </c>
      <c r="K116">
        <f>THETA * B116 * I116</f>
        <v>0</v>
      </c>
      <c r="L116">
        <f>MIN(M115, J116 * CITY_A)</f>
        <v>0</v>
      </c>
      <c r="M116">
        <f>K116 * SIZE_M2</f>
        <v>0</v>
      </c>
      <c r="N116">
        <f>M115 - K116</f>
        <v>0</v>
      </c>
      <c r="O116">
        <f>SIZE_M2 * F116</f>
        <v>0</v>
      </c>
      <c r="P116">
        <f>L116 * F116</f>
        <v>0</v>
      </c>
      <c r="Q116">
        <f>O116 / (1+INF_A)^(A116-1)</f>
        <v>0</v>
      </c>
      <c r="R116">
        <f>Q115 + K116</f>
        <v>0</v>
      </c>
      <c r="S116">
        <f>INT((A116-1)/12)+1</f>
        <v>0</v>
      </c>
    </row>
    <row r="117" spans="1:19">
      <c r="A117">
        <v>116</v>
      </c>
      <c r="B117">
        <f>TEXT(DATEVALUE(START&amp;"-01")+ (ROW()-2),"yyyy-mm")</f>
        <v>0</v>
      </c>
      <c r="C117">
        <f>INDEX(SEASON_FACTORS,MOD(A117-1,12)+1)</f>
        <v>0</v>
      </c>
      <c r="D117">
        <f>INT((A117-1)/12)</f>
        <v>0</v>
      </c>
      <c r="E117">
        <f>COUNTIF(THRESH_ABS,"&lt;="&amp;Q116)</f>
        <v>0</v>
      </c>
      <c r="F117">
        <f>(1+STEP)^(C117+D117)</f>
        <v>0</v>
      </c>
      <c r="G117">
        <f>P0_M2 * (1+INF_A)^(A117-1) * (1+PLUS_A)^(A117-1) * E117</f>
        <v>0</v>
      </c>
      <c r="H117">
        <f>F117 / (1+INF_A)^(A117-1)</f>
        <v>0</v>
      </c>
      <c r="I117">
        <f>F117 / PREF</f>
        <v>0</v>
      </c>
      <c r="J117">
        <f>H117 ^ EPS</f>
        <v>0</v>
      </c>
      <c r="K117">
        <f>THETA * B117 * I117</f>
        <v>0</v>
      </c>
      <c r="L117">
        <f>MIN(M116, J117 * CITY_A)</f>
        <v>0</v>
      </c>
      <c r="M117">
        <f>K117 * SIZE_M2</f>
        <v>0</v>
      </c>
      <c r="N117">
        <f>M116 - K117</f>
        <v>0</v>
      </c>
      <c r="O117">
        <f>SIZE_M2 * F117</f>
        <v>0</v>
      </c>
      <c r="P117">
        <f>L117 * F117</f>
        <v>0</v>
      </c>
      <c r="Q117">
        <f>O117 / (1+INF_A)^(A117-1)</f>
        <v>0</v>
      </c>
      <c r="R117">
        <f>Q116 + K117</f>
        <v>0</v>
      </c>
      <c r="S117">
        <f>INT((A117-1)/12)+1</f>
        <v>0</v>
      </c>
    </row>
    <row r="118" spans="1:19">
      <c r="A118">
        <v>117</v>
      </c>
      <c r="B118">
        <f>TEXT(DATEVALUE(START&amp;"-01")+ (ROW()-2),"yyyy-mm")</f>
        <v>0</v>
      </c>
      <c r="C118">
        <f>INDEX(SEASON_FACTORS,MOD(A118-1,12)+1)</f>
        <v>0</v>
      </c>
      <c r="D118">
        <f>INT((A118-1)/12)</f>
        <v>0</v>
      </c>
      <c r="E118">
        <f>COUNTIF(THRESH_ABS,"&lt;="&amp;Q117)</f>
        <v>0</v>
      </c>
      <c r="F118">
        <f>(1+STEP)^(C118+D118)</f>
        <v>0</v>
      </c>
      <c r="G118">
        <f>P0_M2 * (1+INF_A)^(A118-1) * (1+PLUS_A)^(A118-1) * E118</f>
        <v>0</v>
      </c>
      <c r="H118">
        <f>F118 / (1+INF_A)^(A118-1)</f>
        <v>0</v>
      </c>
      <c r="I118">
        <f>F118 / PREF</f>
        <v>0</v>
      </c>
      <c r="J118">
        <f>H118 ^ EPS</f>
        <v>0</v>
      </c>
      <c r="K118">
        <f>THETA * B118 * I118</f>
        <v>0</v>
      </c>
      <c r="L118">
        <f>MIN(M117, J118 * CITY_A)</f>
        <v>0</v>
      </c>
      <c r="M118">
        <f>K118 * SIZE_M2</f>
        <v>0</v>
      </c>
      <c r="N118">
        <f>M117 - K118</f>
        <v>0</v>
      </c>
      <c r="O118">
        <f>SIZE_M2 * F118</f>
        <v>0</v>
      </c>
      <c r="P118">
        <f>L118 * F118</f>
        <v>0</v>
      </c>
      <c r="Q118">
        <f>O118 / (1+INF_A)^(A118-1)</f>
        <v>0</v>
      </c>
      <c r="R118">
        <f>Q117 + K118</f>
        <v>0</v>
      </c>
      <c r="S118">
        <f>INT((A118-1)/12)+1</f>
        <v>0</v>
      </c>
    </row>
    <row r="119" spans="1:19">
      <c r="A119">
        <v>118</v>
      </c>
      <c r="B119">
        <f>TEXT(DATEVALUE(START&amp;"-01")+ (ROW()-2),"yyyy-mm")</f>
        <v>0</v>
      </c>
      <c r="C119">
        <f>INDEX(SEASON_FACTORS,MOD(A119-1,12)+1)</f>
        <v>0</v>
      </c>
      <c r="D119">
        <f>INT((A119-1)/12)</f>
        <v>0</v>
      </c>
      <c r="E119">
        <f>COUNTIF(THRESH_ABS,"&lt;="&amp;Q118)</f>
        <v>0</v>
      </c>
      <c r="F119">
        <f>(1+STEP)^(C119+D119)</f>
        <v>0</v>
      </c>
      <c r="G119">
        <f>P0_M2 * (1+INF_A)^(A119-1) * (1+PLUS_A)^(A119-1) * E119</f>
        <v>0</v>
      </c>
      <c r="H119">
        <f>F119 / (1+INF_A)^(A119-1)</f>
        <v>0</v>
      </c>
      <c r="I119">
        <f>F119 / PREF</f>
        <v>0</v>
      </c>
      <c r="J119">
        <f>H119 ^ EPS</f>
        <v>0</v>
      </c>
      <c r="K119">
        <f>THETA * B119 * I119</f>
        <v>0</v>
      </c>
      <c r="L119">
        <f>MIN(M118, J119 * CITY_A)</f>
        <v>0</v>
      </c>
      <c r="M119">
        <f>K119 * SIZE_M2</f>
        <v>0</v>
      </c>
      <c r="N119">
        <f>M118 - K119</f>
        <v>0</v>
      </c>
      <c r="O119">
        <f>SIZE_M2 * F119</f>
        <v>0</v>
      </c>
      <c r="P119">
        <f>L119 * F119</f>
        <v>0</v>
      </c>
      <c r="Q119">
        <f>O119 / (1+INF_A)^(A119-1)</f>
        <v>0</v>
      </c>
      <c r="R119">
        <f>Q118 + K119</f>
        <v>0</v>
      </c>
      <c r="S119">
        <f>INT((A119-1)/12)+1</f>
        <v>0</v>
      </c>
    </row>
    <row r="120" spans="1:19">
      <c r="A120">
        <v>119</v>
      </c>
      <c r="B120">
        <f>TEXT(DATEVALUE(START&amp;"-01")+ (ROW()-2),"yyyy-mm")</f>
        <v>0</v>
      </c>
      <c r="C120">
        <f>INDEX(SEASON_FACTORS,MOD(A120-1,12)+1)</f>
        <v>0</v>
      </c>
      <c r="D120">
        <f>INT((A120-1)/12)</f>
        <v>0</v>
      </c>
      <c r="E120">
        <f>COUNTIF(THRESH_ABS,"&lt;="&amp;Q119)</f>
        <v>0</v>
      </c>
      <c r="F120">
        <f>(1+STEP)^(C120+D120)</f>
        <v>0</v>
      </c>
      <c r="G120">
        <f>P0_M2 * (1+INF_A)^(A120-1) * (1+PLUS_A)^(A120-1) * E120</f>
        <v>0</v>
      </c>
      <c r="H120">
        <f>F120 / (1+INF_A)^(A120-1)</f>
        <v>0</v>
      </c>
      <c r="I120">
        <f>F120 / PREF</f>
        <v>0</v>
      </c>
      <c r="J120">
        <f>H120 ^ EPS</f>
        <v>0</v>
      </c>
      <c r="K120">
        <f>THETA * B120 * I120</f>
        <v>0</v>
      </c>
      <c r="L120">
        <f>MIN(M119, J120 * CITY_A)</f>
        <v>0</v>
      </c>
      <c r="M120">
        <f>K120 * SIZE_M2</f>
        <v>0</v>
      </c>
      <c r="N120">
        <f>M119 - K120</f>
        <v>0</v>
      </c>
      <c r="O120">
        <f>SIZE_M2 * F120</f>
        <v>0</v>
      </c>
      <c r="P120">
        <f>L120 * F120</f>
        <v>0</v>
      </c>
      <c r="Q120">
        <f>O120 / (1+INF_A)^(A120-1)</f>
        <v>0</v>
      </c>
      <c r="R120">
        <f>Q119 + K120</f>
        <v>0</v>
      </c>
      <c r="S120">
        <f>INT((A120-1)/12)+1</f>
        <v>0</v>
      </c>
    </row>
    <row r="121" spans="1:19">
      <c r="A121">
        <v>120</v>
      </c>
      <c r="B121">
        <f>TEXT(DATEVALUE(START&amp;"-01")+ (ROW()-2),"yyyy-mm")</f>
        <v>0</v>
      </c>
      <c r="C121">
        <f>INDEX(SEASON_FACTORS,MOD(A121-1,12)+1)</f>
        <v>0</v>
      </c>
      <c r="D121">
        <f>INT((A121-1)/12)</f>
        <v>0</v>
      </c>
      <c r="E121">
        <f>COUNTIF(THRESH_ABS,"&lt;="&amp;Q120)</f>
        <v>0</v>
      </c>
      <c r="F121">
        <f>(1+STEP)^(C121+D121)</f>
        <v>0</v>
      </c>
      <c r="G121">
        <f>P0_M2 * (1+INF_A)^(A121-1) * (1+PLUS_A)^(A121-1) * E121</f>
        <v>0</v>
      </c>
      <c r="H121">
        <f>F121 / (1+INF_A)^(A121-1)</f>
        <v>0</v>
      </c>
      <c r="I121">
        <f>F121 / PREF</f>
        <v>0</v>
      </c>
      <c r="J121">
        <f>H121 ^ EPS</f>
        <v>0</v>
      </c>
      <c r="K121">
        <f>THETA * B121 * I121</f>
        <v>0</v>
      </c>
      <c r="L121">
        <f>MIN(M120, J121 * CITY_A)</f>
        <v>0</v>
      </c>
      <c r="M121">
        <f>K121 * SIZE_M2</f>
        <v>0</v>
      </c>
      <c r="N121">
        <f>M120 - K121</f>
        <v>0</v>
      </c>
      <c r="O121">
        <f>SIZE_M2 * F121</f>
        <v>0</v>
      </c>
      <c r="P121">
        <f>L121 * F121</f>
        <v>0</v>
      </c>
      <c r="Q121">
        <f>O121 / (1+INF_A)^(A121-1)</f>
        <v>0</v>
      </c>
      <c r="R121">
        <f>Q120 + K121</f>
        <v>0</v>
      </c>
      <c r="S121">
        <f>INT((A121-1)/12)+1</f>
        <v>0</v>
      </c>
    </row>
    <row r="122" spans="1:19">
      <c r="A122">
        <v>121</v>
      </c>
      <c r="B122">
        <f>TEXT(DATEVALUE(START&amp;"-01")+ (ROW()-2),"yyyy-mm")</f>
        <v>0</v>
      </c>
      <c r="C122">
        <f>INDEX(SEASON_FACTORS,MOD(A122-1,12)+1)</f>
        <v>0</v>
      </c>
      <c r="D122">
        <f>INT((A122-1)/12)</f>
        <v>0</v>
      </c>
      <c r="E122">
        <f>COUNTIF(THRESH_ABS,"&lt;="&amp;Q121)</f>
        <v>0</v>
      </c>
      <c r="F122">
        <f>(1+STEP)^(C122+D122)</f>
        <v>0</v>
      </c>
      <c r="G122">
        <f>P0_M2 * (1+INF_A)^(A122-1) * (1+PLUS_A)^(A122-1) * E122</f>
        <v>0</v>
      </c>
      <c r="H122">
        <f>F122 / (1+INF_A)^(A122-1)</f>
        <v>0</v>
      </c>
      <c r="I122">
        <f>F122 / PREF</f>
        <v>0</v>
      </c>
      <c r="J122">
        <f>H122 ^ EPS</f>
        <v>0</v>
      </c>
      <c r="K122">
        <f>THETA * B122 * I122</f>
        <v>0</v>
      </c>
      <c r="L122">
        <f>MIN(M121, J122 * CITY_A)</f>
        <v>0</v>
      </c>
      <c r="M122">
        <f>K122 * SIZE_M2</f>
        <v>0</v>
      </c>
      <c r="N122">
        <f>M121 - K122</f>
        <v>0</v>
      </c>
      <c r="O122">
        <f>SIZE_M2 * F122</f>
        <v>0</v>
      </c>
      <c r="P122">
        <f>L122 * F122</f>
        <v>0</v>
      </c>
      <c r="Q122">
        <f>O122 / (1+INF_A)^(A122-1)</f>
        <v>0</v>
      </c>
      <c r="R122">
        <f>Q121 + K122</f>
        <v>0</v>
      </c>
      <c r="S122">
        <f>INT((A122-1)/12)+1</f>
        <v>0</v>
      </c>
    </row>
    <row r="123" spans="1:19">
      <c r="A123">
        <v>122</v>
      </c>
      <c r="B123">
        <f>TEXT(DATEVALUE(START&amp;"-01")+ (ROW()-2),"yyyy-mm")</f>
        <v>0</v>
      </c>
      <c r="C123">
        <f>INDEX(SEASON_FACTORS,MOD(A123-1,12)+1)</f>
        <v>0</v>
      </c>
      <c r="D123">
        <f>INT((A123-1)/12)</f>
        <v>0</v>
      </c>
      <c r="E123">
        <f>COUNTIF(THRESH_ABS,"&lt;="&amp;Q122)</f>
        <v>0</v>
      </c>
      <c r="F123">
        <f>(1+STEP)^(C123+D123)</f>
        <v>0</v>
      </c>
      <c r="G123">
        <f>P0_M2 * (1+INF_A)^(A123-1) * (1+PLUS_A)^(A123-1) * E123</f>
        <v>0</v>
      </c>
      <c r="H123">
        <f>F123 / (1+INF_A)^(A123-1)</f>
        <v>0</v>
      </c>
      <c r="I123">
        <f>F123 / PREF</f>
        <v>0</v>
      </c>
      <c r="J123">
        <f>H123 ^ EPS</f>
        <v>0</v>
      </c>
      <c r="K123">
        <f>THETA * B123 * I123</f>
        <v>0</v>
      </c>
      <c r="L123">
        <f>MIN(M122, J123 * CITY_A)</f>
        <v>0</v>
      </c>
      <c r="M123">
        <f>K123 * SIZE_M2</f>
        <v>0</v>
      </c>
      <c r="N123">
        <f>M122 - K123</f>
        <v>0</v>
      </c>
      <c r="O123">
        <f>SIZE_M2 * F123</f>
        <v>0</v>
      </c>
      <c r="P123">
        <f>L123 * F123</f>
        <v>0</v>
      </c>
      <c r="Q123">
        <f>O123 / (1+INF_A)^(A123-1)</f>
        <v>0</v>
      </c>
      <c r="R123">
        <f>Q122 + K123</f>
        <v>0</v>
      </c>
      <c r="S123">
        <f>INT((A123-1)/12)+1</f>
        <v>0</v>
      </c>
    </row>
    <row r="124" spans="1:19">
      <c r="A124">
        <v>123</v>
      </c>
      <c r="B124">
        <f>TEXT(DATEVALUE(START&amp;"-01")+ (ROW()-2),"yyyy-mm")</f>
        <v>0</v>
      </c>
      <c r="C124">
        <f>INDEX(SEASON_FACTORS,MOD(A124-1,12)+1)</f>
        <v>0</v>
      </c>
      <c r="D124">
        <f>INT((A124-1)/12)</f>
        <v>0</v>
      </c>
      <c r="E124">
        <f>COUNTIF(THRESH_ABS,"&lt;="&amp;Q123)</f>
        <v>0</v>
      </c>
      <c r="F124">
        <f>(1+STEP)^(C124+D124)</f>
        <v>0</v>
      </c>
      <c r="G124">
        <f>P0_M2 * (1+INF_A)^(A124-1) * (1+PLUS_A)^(A124-1) * E124</f>
        <v>0</v>
      </c>
      <c r="H124">
        <f>F124 / (1+INF_A)^(A124-1)</f>
        <v>0</v>
      </c>
      <c r="I124">
        <f>F124 / PREF</f>
        <v>0</v>
      </c>
      <c r="J124">
        <f>H124 ^ EPS</f>
        <v>0</v>
      </c>
      <c r="K124">
        <f>THETA * B124 * I124</f>
        <v>0</v>
      </c>
      <c r="L124">
        <f>MIN(M123, J124 * CITY_A)</f>
        <v>0</v>
      </c>
      <c r="M124">
        <f>K124 * SIZE_M2</f>
        <v>0</v>
      </c>
      <c r="N124">
        <f>M123 - K124</f>
        <v>0</v>
      </c>
      <c r="O124">
        <f>SIZE_M2 * F124</f>
        <v>0</v>
      </c>
      <c r="P124">
        <f>L124 * F124</f>
        <v>0</v>
      </c>
      <c r="Q124">
        <f>O124 / (1+INF_A)^(A124-1)</f>
        <v>0</v>
      </c>
      <c r="R124">
        <f>Q123 + K124</f>
        <v>0</v>
      </c>
      <c r="S124">
        <f>INT((A124-1)/12)+1</f>
        <v>0</v>
      </c>
    </row>
    <row r="125" spans="1:19">
      <c r="A125">
        <v>124</v>
      </c>
      <c r="B125">
        <f>TEXT(DATEVALUE(START&amp;"-01")+ (ROW()-2),"yyyy-mm")</f>
        <v>0</v>
      </c>
      <c r="C125">
        <f>INDEX(SEASON_FACTORS,MOD(A125-1,12)+1)</f>
        <v>0</v>
      </c>
      <c r="D125">
        <f>INT((A125-1)/12)</f>
        <v>0</v>
      </c>
      <c r="E125">
        <f>COUNTIF(THRESH_ABS,"&lt;="&amp;Q124)</f>
        <v>0</v>
      </c>
      <c r="F125">
        <f>(1+STEP)^(C125+D125)</f>
        <v>0</v>
      </c>
      <c r="G125">
        <f>P0_M2 * (1+INF_A)^(A125-1) * (1+PLUS_A)^(A125-1) * E125</f>
        <v>0</v>
      </c>
      <c r="H125">
        <f>F125 / (1+INF_A)^(A125-1)</f>
        <v>0</v>
      </c>
      <c r="I125">
        <f>F125 / PREF</f>
        <v>0</v>
      </c>
      <c r="J125">
        <f>H125 ^ EPS</f>
        <v>0</v>
      </c>
      <c r="K125">
        <f>THETA * B125 * I125</f>
        <v>0</v>
      </c>
      <c r="L125">
        <f>MIN(M124, J125 * CITY_A)</f>
        <v>0</v>
      </c>
      <c r="M125">
        <f>K125 * SIZE_M2</f>
        <v>0</v>
      </c>
      <c r="N125">
        <f>M124 - K125</f>
        <v>0</v>
      </c>
      <c r="O125">
        <f>SIZE_M2 * F125</f>
        <v>0</v>
      </c>
      <c r="P125">
        <f>L125 * F125</f>
        <v>0</v>
      </c>
      <c r="Q125">
        <f>O125 / (1+INF_A)^(A125-1)</f>
        <v>0</v>
      </c>
      <c r="R125">
        <f>Q124 + K125</f>
        <v>0</v>
      </c>
      <c r="S125">
        <f>INT((A125-1)/12)+1</f>
        <v>0</v>
      </c>
    </row>
    <row r="126" spans="1:19">
      <c r="A126">
        <v>125</v>
      </c>
      <c r="B126">
        <f>TEXT(DATEVALUE(START&amp;"-01")+ (ROW()-2),"yyyy-mm")</f>
        <v>0</v>
      </c>
      <c r="C126">
        <f>INDEX(SEASON_FACTORS,MOD(A126-1,12)+1)</f>
        <v>0</v>
      </c>
      <c r="D126">
        <f>INT((A126-1)/12)</f>
        <v>0</v>
      </c>
      <c r="E126">
        <f>COUNTIF(THRESH_ABS,"&lt;="&amp;Q125)</f>
        <v>0</v>
      </c>
      <c r="F126">
        <f>(1+STEP)^(C126+D126)</f>
        <v>0</v>
      </c>
      <c r="G126">
        <f>P0_M2 * (1+INF_A)^(A126-1) * (1+PLUS_A)^(A126-1) * E126</f>
        <v>0</v>
      </c>
      <c r="H126">
        <f>F126 / (1+INF_A)^(A126-1)</f>
        <v>0</v>
      </c>
      <c r="I126">
        <f>F126 / PREF</f>
        <v>0</v>
      </c>
      <c r="J126">
        <f>H126 ^ EPS</f>
        <v>0</v>
      </c>
      <c r="K126">
        <f>THETA * B126 * I126</f>
        <v>0</v>
      </c>
      <c r="L126">
        <f>MIN(M125, J126 * CITY_A)</f>
        <v>0</v>
      </c>
      <c r="M126">
        <f>K126 * SIZE_M2</f>
        <v>0</v>
      </c>
      <c r="N126">
        <f>M125 - K126</f>
        <v>0</v>
      </c>
      <c r="O126">
        <f>SIZE_M2 * F126</f>
        <v>0</v>
      </c>
      <c r="P126">
        <f>L126 * F126</f>
        <v>0</v>
      </c>
      <c r="Q126">
        <f>O126 / (1+INF_A)^(A126-1)</f>
        <v>0</v>
      </c>
      <c r="R126">
        <f>Q125 + K126</f>
        <v>0</v>
      </c>
      <c r="S126">
        <f>INT((A126-1)/12)+1</f>
        <v>0</v>
      </c>
    </row>
    <row r="127" spans="1:19">
      <c r="A127">
        <v>126</v>
      </c>
      <c r="B127">
        <f>TEXT(DATEVALUE(START&amp;"-01")+ (ROW()-2),"yyyy-mm")</f>
        <v>0</v>
      </c>
      <c r="C127">
        <f>INDEX(SEASON_FACTORS,MOD(A127-1,12)+1)</f>
        <v>0</v>
      </c>
      <c r="D127">
        <f>INT((A127-1)/12)</f>
        <v>0</v>
      </c>
      <c r="E127">
        <f>COUNTIF(THRESH_ABS,"&lt;="&amp;Q126)</f>
        <v>0</v>
      </c>
      <c r="F127">
        <f>(1+STEP)^(C127+D127)</f>
        <v>0</v>
      </c>
      <c r="G127">
        <f>P0_M2 * (1+INF_A)^(A127-1) * (1+PLUS_A)^(A127-1) * E127</f>
        <v>0</v>
      </c>
      <c r="H127">
        <f>F127 / (1+INF_A)^(A127-1)</f>
        <v>0</v>
      </c>
      <c r="I127">
        <f>F127 / PREF</f>
        <v>0</v>
      </c>
      <c r="J127">
        <f>H127 ^ EPS</f>
        <v>0</v>
      </c>
      <c r="K127">
        <f>THETA * B127 * I127</f>
        <v>0</v>
      </c>
      <c r="L127">
        <f>MIN(M126, J127 * CITY_A)</f>
        <v>0</v>
      </c>
      <c r="M127">
        <f>K127 * SIZE_M2</f>
        <v>0</v>
      </c>
      <c r="N127">
        <f>M126 - K127</f>
        <v>0</v>
      </c>
      <c r="O127">
        <f>SIZE_M2 * F127</f>
        <v>0</v>
      </c>
      <c r="P127">
        <f>L127 * F127</f>
        <v>0</v>
      </c>
      <c r="Q127">
        <f>O127 / (1+INF_A)^(A127-1)</f>
        <v>0</v>
      </c>
      <c r="R127">
        <f>Q126 + K127</f>
        <v>0</v>
      </c>
      <c r="S127">
        <f>INT((A127-1)/12)+1</f>
        <v>0</v>
      </c>
    </row>
    <row r="128" spans="1:19">
      <c r="A128">
        <v>127</v>
      </c>
      <c r="B128">
        <f>TEXT(DATEVALUE(START&amp;"-01")+ (ROW()-2),"yyyy-mm")</f>
        <v>0</v>
      </c>
      <c r="C128">
        <f>INDEX(SEASON_FACTORS,MOD(A128-1,12)+1)</f>
        <v>0</v>
      </c>
      <c r="D128">
        <f>INT((A128-1)/12)</f>
        <v>0</v>
      </c>
      <c r="E128">
        <f>COUNTIF(THRESH_ABS,"&lt;="&amp;Q127)</f>
        <v>0</v>
      </c>
      <c r="F128">
        <f>(1+STEP)^(C128+D128)</f>
        <v>0</v>
      </c>
      <c r="G128">
        <f>P0_M2 * (1+INF_A)^(A128-1) * (1+PLUS_A)^(A128-1) * E128</f>
        <v>0</v>
      </c>
      <c r="H128">
        <f>F128 / (1+INF_A)^(A128-1)</f>
        <v>0</v>
      </c>
      <c r="I128">
        <f>F128 / PREF</f>
        <v>0</v>
      </c>
      <c r="J128">
        <f>H128 ^ EPS</f>
        <v>0</v>
      </c>
      <c r="K128">
        <f>THETA * B128 * I128</f>
        <v>0</v>
      </c>
      <c r="L128">
        <f>MIN(M127, J128 * CITY_A)</f>
        <v>0</v>
      </c>
      <c r="M128">
        <f>K128 * SIZE_M2</f>
        <v>0</v>
      </c>
      <c r="N128">
        <f>M127 - K128</f>
        <v>0</v>
      </c>
      <c r="O128">
        <f>SIZE_M2 * F128</f>
        <v>0</v>
      </c>
      <c r="P128">
        <f>L128 * F128</f>
        <v>0</v>
      </c>
      <c r="Q128">
        <f>O128 / (1+INF_A)^(A128-1)</f>
        <v>0</v>
      </c>
      <c r="R128">
        <f>Q127 + K128</f>
        <v>0</v>
      </c>
      <c r="S128">
        <f>INT((A128-1)/12)+1</f>
        <v>0</v>
      </c>
    </row>
    <row r="129" spans="1:19">
      <c r="A129">
        <v>128</v>
      </c>
      <c r="B129">
        <f>TEXT(DATEVALUE(START&amp;"-01")+ (ROW()-2),"yyyy-mm")</f>
        <v>0</v>
      </c>
      <c r="C129">
        <f>INDEX(SEASON_FACTORS,MOD(A129-1,12)+1)</f>
        <v>0</v>
      </c>
      <c r="D129">
        <f>INT((A129-1)/12)</f>
        <v>0</v>
      </c>
      <c r="E129">
        <f>COUNTIF(THRESH_ABS,"&lt;="&amp;Q128)</f>
        <v>0</v>
      </c>
      <c r="F129">
        <f>(1+STEP)^(C129+D129)</f>
        <v>0</v>
      </c>
      <c r="G129">
        <f>P0_M2 * (1+INF_A)^(A129-1) * (1+PLUS_A)^(A129-1) * E129</f>
        <v>0</v>
      </c>
      <c r="H129">
        <f>F129 / (1+INF_A)^(A129-1)</f>
        <v>0</v>
      </c>
      <c r="I129">
        <f>F129 / PREF</f>
        <v>0</v>
      </c>
      <c r="J129">
        <f>H129 ^ EPS</f>
        <v>0</v>
      </c>
      <c r="K129">
        <f>THETA * B129 * I129</f>
        <v>0</v>
      </c>
      <c r="L129">
        <f>MIN(M128, J129 * CITY_A)</f>
        <v>0</v>
      </c>
      <c r="M129">
        <f>K129 * SIZE_M2</f>
        <v>0</v>
      </c>
      <c r="N129">
        <f>M128 - K129</f>
        <v>0</v>
      </c>
      <c r="O129">
        <f>SIZE_M2 * F129</f>
        <v>0</v>
      </c>
      <c r="P129">
        <f>L129 * F129</f>
        <v>0</v>
      </c>
      <c r="Q129">
        <f>O129 / (1+INF_A)^(A129-1)</f>
        <v>0</v>
      </c>
      <c r="R129">
        <f>Q128 + K129</f>
        <v>0</v>
      </c>
      <c r="S129">
        <f>INT((A129-1)/12)+1</f>
        <v>0</v>
      </c>
    </row>
    <row r="130" spans="1:19">
      <c r="A130">
        <v>129</v>
      </c>
      <c r="B130">
        <f>TEXT(DATEVALUE(START&amp;"-01")+ (ROW()-2),"yyyy-mm")</f>
        <v>0</v>
      </c>
      <c r="C130">
        <f>INDEX(SEASON_FACTORS,MOD(A130-1,12)+1)</f>
        <v>0</v>
      </c>
      <c r="D130">
        <f>INT((A130-1)/12)</f>
        <v>0</v>
      </c>
      <c r="E130">
        <f>COUNTIF(THRESH_ABS,"&lt;="&amp;Q129)</f>
        <v>0</v>
      </c>
      <c r="F130">
        <f>(1+STEP)^(C130+D130)</f>
        <v>0</v>
      </c>
      <c r="G130">
        <f>P0_M2 * (1+INF_A)^(A130-1) * (1+PLUS_A)^(A130-1) * E130</f>
        <v>0</v>
      </c>
      <c r="H130">
        <f>F130 / (1+INF_A)^(A130-1)</f>
        <v>0</v>
      </c>
      <c r="I130">
        <f>F130 / PREF</f>
        <v>0</v>
      </c>
      <c r="J130">
        <f>H130 ^ EPS</f>
        <v>0</v>
      </c>
      <c r="K130">
        <f>THETA * B130 * I130</f>
        <v>0</v>
      </c>
      <c r="L130">
        <f>MIN(M129, J130 * CITY_A)</f>
        <v>0</v>
      </c>
      <c r="M130">
        <f>K130 * SIZE_M2</f>
        <v>0</v>
      </c>
      <c r="N130">
        <f>M129 - K130</f>
        <v>0</v>
      </c>
      <c r="O130">
        <f>SIZE_M2 * F130</f>
        <v>0</v>
      </c>
      <c r="P130">
        <f>L130 * F130</f>
        <v>0</v>
      </c>
      <c r="Q130">
        <f>O130 / (1+INF_A)^(A130-1)</f>
        <v>0</v>
      </c>
      <c r="R130">
        <f>Q129 + K130</f>
        <v>0</v>
      </c>
      <c r="S130">
        <f>INT((A130-1)/12)+1</f>
        <v>0</v>
      </c>
    </row>
    <row r="131" spans="1:19">
      <c r="A131">
        <v>130</v>
      </c>
      <c r="B131">
        <f>TEXT(DATEVALUE(START&amp;"-01")+ (ROW()-2),"yyyy-mm")</f>
        <v>0</v>
      </c>
      <c r="C131">
        <f>INDEX(SEASON_FACTORS,MOD(A131-1,12)+1)</f>
        <v>0</v>
      </c>
      <c r="D131">
        <f>INT((A131-1)/12)</f>
        <v>0</v>
      </c>
      <c r="E131">
        <f>COUNTIF(THRESH_ABS,"&lt;="&amp;Q130)</f>
        <v>0</v>
      </c>
      <c r="F131">
        <f>(1+STEP)^(C131+D131)</f>
        <v>0</v>
      </c>
      <c r="G131">
        <f>P0_M2 * (1+INF_A)^(A131-1) * (1+PLUS_A)^(A131-1) * E131</f>
        <v>0</v>
      </c>
      <c r="H131">
        <f>F131 / (1+INF_A)^(A131-1)</f>
        <v>0</v>
      </c>
      <c r="I131">
        <f>F131 / PREF</f>
        <v>0</v>
      </c>
      <c r="J131">
        <f>H131 ^ EPS</f>
        <v>0</v>
      </c>
      <c r="K131">
        <f>THETA * B131 * I131</f>
        <v>0</v>
      </c>
      <c r="L131">
        <f>MIN(M130, J131 * CITY_A)</f>
        <v>0</v>
      </c>
      <c r="M131">
        <f>K131 * SIZE_M2</f>
        <v>0</v>
      </c>
      <c r="N131">
        <f>M130 - K131</f>
        <v>0</v>
      </c>
      <c r="O131">
        <f>SIZE_M2 * F131</f>
        <v>0</v>
      </c>
      <c r="P131">
        <f>L131 * F131</f>
        <v>0</v>
      </c>
      <c r="Q131">
        <f>O131 / (1+INF_A)^(A131-1)</f>
        <v>0</v>
      </c>
      <c r="R131">
        <f>Q130 + K131</f>
        <v>0</v>
      </c>
      <c r="S131">
        <f>INT((A131-1)/12)+1</f>
        <v>0</v>
      </c>
    </row>
    <row r="132" spans="1:19">
      <c r="A132">
        <v>131</v>
      </c>
      <c r="B132">
        <f>TEXT(DATEVALUE(START&amp;"-01")+ (ROW()-2),"yyyy-mm")</f>
        <v>0</v>
      </c>
      <c r="C132">
        <f>INDEX(SEASON_FACTORS,MOD(A132-1,12)+1)</f>
        <v>0</v>
      </c>
      <c r="D132">
        <f>INT((A132-1)/12)</f>
        <v>0</v>
      </c>
      <c r="E132">
        <f>COUNTIF(THRESH_ABS,"&lt;="&amp;Q131)</f>
        <v>0</v>
      </c>
      <c r="F132">
        <f>(1+STEP)^(C132+D132)</f>
        <v>0</v>
      </c>
      <c r="G132">
        <f>P0_M2 * (1+INF_A)^(A132-1) * (1+PLUS_A)^(A132-1) * E132</f>
        <v>0</v>
      </c>
      <c r="H132">
        <f>F132 / (1+INF_A)^(A132-1)</f>
        <v>0</v>
      </c>
      <c r="I132">
        <f>F132 / PREF</f>
        <v>0</v>
      </c>
      <c r="J132">
        <f>H132 ^ EPS</f>
        <v>0</v>
      </c>
      <c r="K132">
        <f>THETA * B132 * I132</f>
        <v>0</v>
      </c>
      <c r="L132">
        <f>MIN(M131, J132 * CITY_A)</f>
        <v>0</v>
      </c>
      <c r="M132">
        <f>K132 * SIZE_M2</f>
        <v>0</v>
      </c>
      <c r="N132">
        <f>M131 - K132</f>
        <v>0</v>
      </c>
      <c r="O132">
        <f>SIZE_M2 * F132</f>
        <v>0</v>
      </c>
      <c r="P132">
        <f>L132 * F132</f>
        <v>0</v>
      </c>
      <c r="Q132">
        <f>O132 / (1+INF_A)^(A132-1)</f>
        <v>0</v>
      </c>
      <c r="R132">
        <f>Q131 + K132</f>
        <v>0</v>
      </c>
      <c r="S132">
        <f>INT((A132-1)/12)+1</f>
        <v>0</v>
      </c>
    </row>
    <row r="133" spans="1:19">
      <c r="A133">
        <v>132</v>
      </c>
      <c r="B133">
        <f>TEXT(DATEVALUE(START&amp;"-01")+ (ROW()-2),"yyyy-mm")</f>
        <v>0</v>
      </c>
      <c r="C133">
        <f>INDEX(SEASON_FACTORS,MOD(A133-1,12)+1)</f>
        <v>0</v>
      </c>
      <c r="D133">
        <f>INT((A133-1)/12)</f>
        <v>0</v>
      </c>
      <c r="E133">
        <f>COUNTIF(THRESH_ABS,"&lt;="&amp;Q132)</f>
        <v>0</v>
      </c>
      <c r="F133">
        <f>(1+STEP)^(C133+D133)</f>
        <v>0</v>
      </c>
      <c r="G133">
        <f>P0_M2 * (1+INF_A)^(A133-1) * (1+PLUS_A)^(A133-1) * E133</f>
        <v>0</v>
      </c>
      <c r="H133">
        <f>F133 / (1+INF_A)^(A133-1)</f>
        <v>0</v>
      </c>
      <c r="I133">
        <f>F133 / PREF</f>
        <v>0</v>
      </c>
      <c r="J133">
        <f>H133 ^ EPS</f>
        <v>0</v>
      </c>
      <c r="K133">
        <f>THETA * B133 * I133</f>
        <v>0</v>
      </c>
      <c r="L133">
        <f>MIN(M132, J133 * CITY_A)</f>
        <v>0</v>
      </c>
      <c r="M133">
        <f>K133 * SIZE_M2</f>
        <v>0</v>
      </c>
      <c r="N133">
        <f>M132 - K133</f>
        <v>0</v>
      </c>
      <c r="O133">
        <f>SIZE_M2 * F133</f>
        <v>0</v>
      </c>
      <c r="P133">
        <f>L133 * F133</f>
        <v>0</v>
      </c>
      <c r="Q133">
        <f>O133 / (1+INF_A)^(A133-1)</f>
        <v>0</v>
      </c>
      <c r="R133">
        <f>Q132 + K133</f>
        <v>0</v>
      </c>
      <c r="S133">
        <f>INT((A133-1)/12)+1</f>
        <v>0</v>
      </c>
    </row>
    <row r="134" spans="1:19">
      <c r="A134">
        <v>133</v>
      </c>
      <c r="B134">
        <f>TEXT(DATEVALUE(START&amp;"-01")+ (ROW()-2),"yyyy-mm")</f>
        <v>0</v>
      </c>
      <c r="C134">
        <f>INDEX(SEASON_FACTORS,MOD(A134-1,12)+1)</f>
        <v>0</v>
      </c>
      <c r="D134">
        <f>INT((A134-1)/12)</f>
        <v>0</v>
      </c>
      <c r="E134">
        <f>COUNTIF(THRESH_ABS,"&lt;="&amp;Q133)</f>
        <v>0</v>
      </c>
      <c r="F134">
        <f>(1+STEP)^(C134+D134)</f>
        <v>0</v>
      </c>
      <c r="G134">
        <f>P0_M2 * (1+INF_A)^(A134-1) * (1+PLUS_A)^(A134-1) * E134</f>
        <v>0</v>
      </c>
      <c r="H134">
        <f>F134 / (1+INF_A)^(A134-1)</f>
        <v>0</v>
      </c>
      <c r="I134">
        <f>F134 / PREF</f>
        <v>0</v>
      </c>
      <c r="J134">
        <f>H134 ^ EPS</f>
        <v>0</v>
      </c>
      <c r="K134">
        <f>THETA * B134 * I134</f>
        <v>0</v>
      </c>
      <c r="L134">
        <f>MIN(M133, J134 * CITY_A)</f>
        <v>0</v>
      </c>
      <c r="M134">
        <f>K134 * SIZE_M2</f>
        <v>0</v>
      </c>
      <c r="N134">
        <f>M133 - K134</f>
        <v>0</v>
      </c>
      <c r="O134">
        <f>SIZE_M2 * F134</f>
        <v>0</v>
      </c>
      <c r="P134">
        <f>L134 * F134</f>
        <v>0</v>
      </c>
      <c r="Q134">
        <f>O134 / (1+INF_A)^(A134-1)</f>
        <v>0</v>
      </c>
      <c r="R134">
        <f>Q133 + K134</f>
        <v>0</v>
      </c>
      <c r="S134">
        <f>INT((A134-1)/12)+1</f>
        <v>0</v>
      </c>
    </row>
    <row r="135" spans="1:19">
      <c r="A135">
        <v>134</v>
      </c>
      <c r="B135">
        <f>TEXT(DATEVALUE(START&amp;"-01")+ (ROW()-2),"yyyy-mm")</f>
        <v>0</v>
      </c>
      <c r="C135">
        <f>INDEX(SEASON_FACTORS,MOD(A135-1,12)+1)</f>
        <v>0</v>
      </c>
      <c r="D135">
        <f>INT((A135-1)/12)</f>
        <v>0</v>
      </c>
      <c r="E135">
        <f>COUNTIF(THRESH_ABS,"&lt;="&amp;Q134)</f>
        <v>0</v>
      </c>
      <c r="F135">
        <f>(1+STEP)^(C135+D135)</f>
        <v>0</v>
      </c>
      <c r="G135">
        <f>P0_M2 * (1+INF_A)^(A135-1) * (1+PLUS_A)^(A135-1) * E135</f>
        <v>0</v>
      </c>
      <c r="H135">
        <f>F135 / (1+INF_A)^(A135-1)</f>
        <v>0</v>
      </c>
      <c r="I135">
        <f>F135 / PREF</f>
        <v>0</v>
      </c>
      <c r="J135">
        <f>H135 ^ EPS</f>
        <v>0</v>
      </c>
      <c r="K135">
        <f>THETA * B135 * I135</f>
        <v>0</v>
      </c>
      <c r="L135">
        <f>MIN(M134, J135 * CITY_A)</f>
        <v>0</v>
      </c>
      <c r="M135">
        <f>K135 * SIZE_M2</f>
        <v>0</v>
      </c>
      <c r="N135">
        <f>M134 - K135</f>
        <v>0</v>
      </c>
      <c r="O135">
        <f>SIZE_M2 * F135</f>
        <v>0</v>
      </c>
      <c r="P135">
        <f>L135 * F135</f>
        <v>0</v>
      </c>
      <c r="Q135">
        <f>O135 / (1+INF_A)^(A135-1)</f>
        <v>0</v>
      </c>
      <c r="R135">
        <f>Q134 + K135</f>
        <v>0</v>
      </c>
      <c r="S135">
        <f>INT((A135-1)/12)+1</f>
        <v>0</v>
      </c>
    </row>
    <row r="136" spans="1:19">
      <c r="A136">
        <v>135</v>
      </c>
      <c r="B136">
        <f>TEXT(DATEVALUE(START&amp;"-01")+ (ROW()-2),"yyyy-mm")</f>
        <v>0</v>
      </c>
      <c r="C136">
        <f>INDEX(SEASON_FACTORS,MOD(A136-1,12)+1)</f>
        <v>0</v>
      </c>
      <c r="D136">
        <f>INT((A136-1)/12)</f>
        <v>0</v>
      </c>
      <c r="E136">
        <f>COUNTIF(THRESH_ABS,"&lt;="&amp;Q135)</f>
        <v>0</v>
      </c>
      <c r="F136">
        <f>(1+STEP)^(C136+D136)</f>
        <v>0</v>
      </c>
      <c r="G136">
        <f>P0_M2 * (1+INF_A)^(A136-1) * (1+PLUS_A)^(A136-1) * E136</f>
        <v>0</v>
      </c>
      <c r="H136">
        <f>F136 / (1+INF_A)^(A136-1)</f>
        <v>0</v>
      </c>
      <c r="I136">
        <f>F136 / PREF</f>
        <v>0</v>
      </c>
      <c r="J136">
        <f>H136 ^ EPS</f>
        <v>0</v>
      </c>
      <c r="K136">
        <f>THETA * B136 * I136</f>
        <v>0</v>
      </c>
      <c r="L136">
        <f>MIN(M135, J136 * CITY_A)</f>
        <v>0</v>
      </c>
      <c r="M136">
        <f>K136 * SIZE_M2</f>
        <v>0</v>
      </c>
      <c r="N136">
        <f>M135 - K136</f>
        <v>0</v>
      </c>
      <c r="O136">
        <f>SIZE_M2 * F136</f>
        <v>0</v>
      </c>
      <c r="P136">
        <f>L136 * F136</f>
        <v>0</v>
      </c>
      <c r="Q136">
        <f>O136 / (1+INF_A)^(A136-1)</f>
        <v>0</v>
      </c>
      <c r="R136">
        <f>Q135 + K136</f>
        <v>0</v>
      </c>
      <c r="S136">
        <f>INT((A136-1)/12)+1</f>
        <v>0</v>
      </c>
    </row>
    <row r="137" spans="1:19">
      <c r="A137">
        <v>136</v>
      </c>
      <c r="B137">
        <f>TEXT(DATEVALUE(START&amp;"-01")+ (ROW()-2),"yyyy-mm")</f>
        <v>0</v>
      </c>
      <c r="C137">
        <f>INDEX(SEASON_FACTORS,MOD(A137-1,12)+1)</f>
        <v>0</v>
      </c>
      <c r="D137">
        <f>INT((A137-1)/12)</f>
        <v>0</v>
      </c>
      <c r="E137">
        <f>COUNTIF(THRESH_ABS,"&lt;="&amp;Q136)</f>
        <v>0</v>
      </c>
      <c r="F137">
        <f>(1+STEP)^(C137+D137)</f>
        <v>0</v>
      </c>
      <c r="G137">
        <f>P0_M2 * (1+INF_A)^(A137-1) * (1+PLUS_A)^(A137-1) * E137</f>
        <v>0</v>
      </c>
      <c r="H137">
        <f>F137 / (1+INF_A)^(A137-1)</f>
        <v>0</v>
      </c>
      <c r="I137">
        <f>F137 / PREF</f>
        <v>0</v>
      </c>
      <c r="J137">
        <f>H137 ^ EPS</f>
        <v>0</v>
      </c>
      <c r="K137">
        <f>THETA * B137 * I137</f>
        <v>0</v>
      </c>
      <c r="L137">
        <f>MIN(M136, J137 * CITY_A)</f>
        <v>0</v>
      </c>
      <c r="M137">
        <f>K137 * SIZE_M2</f>
        <v>0</v>
      </c>
      <c r="N137">
        <f>M136 - K137</f>
        <v>0</v>
      </c>
      <c r="O137">
        <f>SIZE_M2 * F137</f>
        <v>0</v>
      </c>
      <c r="P137">
        <f>L137 * F137</f>
        <v>0</v>
      </c>
      <c r="Q137">
        <f>O137 / (1+INF_A)^(A137-1)</f>
        <v>0</v>
      </c>
      <c r="R137">
        <f>Q136 + K137</f>
        <v>0</v>
      </c>
      <c r="S137">
        <f>INT((A137-1)/12)+1</f>
        <v>0</v>
      </c>
    </row>
    <row r="138" spans="1:19">
      <c r="A138">
        <v>137</v>
      </c>
      <c r="B138">
        <f>TEXT(DATEVALUE(START&amp;"-01")+ (ROW()-2),"yyyy-mm")</f>
        <v>0</v>
      </c>
      <c r="C138">
        <f>INDEX(SEASON_FACTORS,MOD(A138-1,12)+1)</f>
        <v>0</v>
      </c>
      <c r="D138">
        <f>INT((A138-1)/12)</f>
        <v>0</v>
      </c>
      <c r="E138">
        <f>COUNTIF(THRESH_ABS,"&lt;="&amp;Q137)</f>
        <v>0</v>
      </c>
      <c r="F138">
        <f>(1+STEP)^(C138+D138)</f>
        <v>0</v>
      </c>
      <c r="G138">
        <f>P0_M2 * (1+INF_A)^(A138-1) * (1+PLUS_A)^(A138-1) * E138</f>
        <v>0</v>
      </c>
      <c r="H138">
        <f>F138 / (1+INF_A)^(A138-1)</f>
        <v>0</v>
      </c>
      <c r="I138">
        <f>F138 / PREF</f>
        <v>0</v>
      </c>
      <c r="J138">
        <f>H138 ^ EPS</f>
        <v>0</v>
      </c>
      <c r="K138">
        <f>THETA * B138 * I138</f>
        <v>0</v>
      </c>
      <c r="L138">
        <f>MIN(M137, J138 * CITY_A)</f>
        <v>0</v>
      </c>
      <c r="M138">
        <f>K138 * SIZE_M2</f>
        <v>0</v>
      </c>
      <c r="N138">
        <f>M137 - K138</f>
        <v>0</v>
      </c>
      <c r="O138">
        <f>SIZE_M2 * F138</f>
        <v>0</v>
      </c>
      <c r="P138">
        <f>L138 * F138</f>
        <v>0</v>
      </c>
      <c r="Q138">
        <f>O138 / (1+INF_A)^(A138-1)</f>
        <v>0</v>
      </c>
      <c r="R138">
        <f>Q137 + K138</f>
        <v>0</v>
      </c>
      <c r="S138">
        <f>INT((A138-1)/12)+1</f>
        <v>0</v>
      </c>
    </row>
    <row r="139" spans="1:19">
      <c r="A139">
        <v>138</v>
      </c>
      <c r="B139">
        <f>TEXT(DATEVALUE(START&amp;"-01")+ (ROW()-2),"yyyy-mm")</f>
        <v>0</v>
      </c>
      <c r="C139">
        <f>INDEX(SEASON_FACTORS,MOD(A139-1,12)+1)</f>
        <v>0</v>
      </c>
      <c r="D139">
        <f>INT((A139-1)/12)</f>
        <v>0</v>
      </c>
      <c r="E139">
        <f>COUNTIF(THRESH_ABS,"&lt;="&amp;Q138)</f>
        <v>0</v>
      </c>
      <c r="F139">
        <f>(1+STEP)^(C139+D139)</f>
        <v>0</v>
      </c>
      <c r="G139">
        <f>P0_M2 * (1+INF_A)^(A139-1) * (1+PLUS_A)^(A139-1) * E139</f>
        <v>0</v>
      </c>
      <c r="H139">
        <f>F139 / (1+INF_A)^(A139-1)</f>
        <v>0</v>
      </c>
      <c r="I139">
        <f>F139 / PREF</f>
        <v>0</v>
      </c>
      <c r="J139">
        <f>H139 ^ EPS</f>
        <v>0</v>
      </c>
      <c r="K139">
        <f>THETA * B139 * I139</f>
        <v>0</v>
      </c>
      <c r="L139">
        <f>MIN(M138, J139 * CITY_A)</f>
        <v>0</v>
      </c>
      <c r="M139">
        <f>K139 * SIZE_M2</f>
        <v>0</v>
      </c>
      <c r="N139">
        <f>M138 - K139</f>
        <v>0</v>
      </c>
      <c r="O139">
        <f>SIZE_M2 * F139</f>
        <v>0</v>
      </c>
      <c r="P139">
        <f>L139 * F139</f>
        <v>0</v>
      </c>
      <c r="Q139">
        <f>O139 / (1+INF_A)^(A139-1)</f>
        <v>0</v>
      </c>
      <c r="R139">
        <f>Q138 + K139</f>
        <v>0</v>
      </c>
      <c r="S139">
        <f>INT((A139-1)/12)+1</f>
        <v>0</v>
      </c>
    </row>
    <row r="140" spans="1:19">
      <c r="A140">
        <v>139</v>
      </c>
      <c r="B140">
        <f>TEXT(DATEVALUE(START&amp;"-01")+ (ROW()-2),"yyyy-mm")</f>
        <v>0</v>
      </c>
      <c r="C140">
        <f>INDEX(SEASON_FACTORS,MOD(A140-1,12)+1)</f>
        <v>0</v>
      </c>
      <c r="D140">
        <f>INT((A140-1)/12)</f>
        <v>0</v>
      </c>
      <c r="E140">
        <f>COUNTIF(THRESH_ABS,"&lt;="&amp;Q139)</f>
        <v>0</v>
      </c>
      <c r="F140">
        <f>(1+STEP)^(C140+D140)</f>
        <v>0</v>
      </c>
      <c r="G140">
        <f>P0_M2 * (1+INF_A)^(A140-1) * (1+PLUS_A)^(A140-1) * E140</f>
        <v>0</v>
      </c>
      <c r="H140">
        <f>F140 / (1+INF_A)^(A140-1)</f>
        <v>0</v>
      </c>
      <c r="I140">
        <f>F140 / PREF</f>
        <v>0</v>
      </c>
      <c r="J140">
        <f>H140 ^ EPS</f>
        <v>0</v>
      </c>
      <c r="K140">
        <f>THETA * B140 * I140</f>
        <v>0</v>
      </c>
      <c r="L140">
        <f>MIN(M139, J140 * CITY_A)</f>
        <v>0</v>
      </c>
      <c r="M140">
        <f>K140 * SIZE_M2</f>
        <v>0</v>
      </c>
      <c r="N140">
        <f>M139 - K140</f>
        <v>0</v>
      </c>
      <c r="O140">
        <f>SIZE_M2 * F140</f>
        <v>0</v>
      </c>
      <c r="P140">
        <f>L140 * F140</f>
        <v>0</v>
      </c>
      <c r="Q140">
        <f>O140 / (1+INF_A)^(A140-1)</f>
        <v>0</v>
      </c>
      <c r="R140">
        <f>Q139 + K140</f>
        <v>0</v>
      </c>
      <c r="S140">
        <f>INT((A140-1)/12)+1</f>
        <v>0</v>
      </c>
    </row>
    <row r="141" spans="1:19">
      <c r="A141">
        <v>140</v>
      </c>
      <c r="B141">
        <f>TEXT(DATEVALUE(START&amp;"-01")+ (ROW()-2),"yyyy-mm")</f>
        <v>0</v>
      </c>
      <c r="C141">
        <f>INDEX(SEASON_FACTORS,MOD(A141-1,12)+1)</f>
        <v>0</v>
      </c>
      <c r="D141">
        <f>INT((A141-1)/12)</f>
        <v>0</v>
      </c>
      <c r="E141">
        <f>COUNTIF(THRESH_ABS,"&lt;="&amp;Q140)</f>
        <v>0</v>
      </c>
      <c r="F141">
        <f>(1+STEP)^(C141+D141)</f>
        <v>0</v>
      </c>
      <c r="G141">
        <f>P0_M2 * (1+INF_A)^(A141-1) * (1+PLUS_A)^(A141-1) * E141</f>
        <v>0</v>
      </c>
      <c r="H141">
        <f>F141 / (1+INF_A)^(A141-1)</f>
        <v>0</v>
      </c>
      <c r="I141">
        <f>F141 / PREF</f>
        <v>0</v>
      </c>
      <c r="J141">
        <f>H141 ^ EPS</f>
        <v>0</v>
      </c>
      <c r="K141">
        <f>THETA * B141 * I141</f>
        <v>0</v>
      </c>
      <c r="L141">
        <f>MIN(M140, J141 * CITY_A)</f>
        <v>0</v>
      </c>
      <c r="M141">
        <f>K141 * SIZE_M2</f>
        <v>0</v>
      </c>
      <c r="N141">
        <f>M140 - K141</f>
        <v>0</v>
      </c>
      <c r="O141">
        <f>SIZE_M2 * F141</f>
        <v>0</v>
      </c>
      <c r="P141">
        <f>L141 * F141</f>
        <v>0</v>
      </c>
      <c r="Q141">
        <f>O141 / (1+INF_A)^(A141-1)</f>
        <v>0</v>
      </c>
      <c r="R141">
        <f>Q140 + K141</f>
        <v>0</v>
      </c>
      <c r="S141">
        <f>INT((A141-1)/12)+1</f>
        <v>0</v>
      </c>
    </row>
    <row r="142" spans="1:19">
      <c r="A142">
        <v>141</v>
      </c>
      <c r="B142">
        <f>TEXT(DATEVALUE(START&amp;"-01")+ (ROW()-2),"yyyy-mm")</f>
        <v>0</v>
      </c>
      <c r="C142">
        <f>INDEX(SEASON_FACTORS,MOD(A142-1,12)+1)</f>
        <v>0</v>
      </c>
      <c r="D142">
        <f>INT((A142-1)/12)</f>
        <v>0</v>
      </c>
      <c r="E142">
        <f>COUNTIF(THRESH_ABS,"&lt;="&amp;Q141)</f>
        <v>0</v>
      </c>
      <c r="F142">
        <f>(1+STEP)^(C142+D142)</f>
        <v>0</v>
      </c>
      <c r="G142">
        <f>P0_M2 * (1+INF_A)^(A142-1) * (1+PLUS_A)^(A142-1) * E142</f>
        <v>0</v>
      </c>
      <c r="H142">
        <f>F142 / (1+INF_A)^(A142-1)</f>
        <v>0</v>
      </c>
      <c r="I142">
        <f>F142 / PREF</f>
        <v>0</v>
      </c>
      <c r="J142">
        <f>H142 ^ EPS</f>
        <v>0</v>
      </c>
      <c r="K142">
        <f>THETA * B142 * I142</f>
        <v>0</v>
      </c>
      <c r="L142">
        <f>MIN(M141, J142 * CITY_A)</f>
        <v>0</v>
      </c>
      <c r="M142">
        <f>K142 * SIZE_M2</f>
        <v>0</v>
      </c>
      <c r="N142">
        <f>M141 - K142</f>
        <v>0</v>
      </c>
      <c r="O142">
        <f>SIZE_M2 * F142</f>
        <v>0</v>
      </c>
      <c r="P142">
        <f>L142 * F142</f>
        <v>0</v>
      </c>
      <c r="Q142">
        <f>O142 / (1+INF_A)^(A142-1)</f>
        <v>0</v>
      </c>
      <c r="R142">
        <f>Q141 + K142</f>
        <v>0</v>
      </c>
      <c r="S142">
        <f>INT((A142-1)/12)+1</f>
        <v>0</v>
      </c>
    </row>
    <row r="143" spans="1:19">
      <c r="A143">
        <v>142</v>
      </c>
      <c r="B143">
        <f>TEXT(DATEVALUE(START&amp;"-01")+ (ROW()-2),"yyyy-mm")</f>
        <v>0</v>
      </c>
      <c r="C143">
        <f>INDEX(SEASON_FACTORS,MOD(A143-1,12)+1)</f>
        <v>0</v>
      </c>
      <c r="D143">
        <f>INT((A143-1)/12)</f>
        <v>0</v>
      </c>
      <c r="E143">
        <f>COUNTIF(THRESH_ABS,"&lt;="&amp;Q142)</f>
        <v>0</v>
      </c>
      <c r="F143">
        <f>(1+STEP)^(C143+D143)</f>
        <v>0</v>
      </c>
      <c r="G143">
        <f>P0_M2 * (1+INF_A)^(A143-1) * (1+PLUS_A)^(A143-1) * E143</f>
        <v>0</v>
      </c>
      <c r="H143">
        <f>F143 / (1+INF_A)^(A143-1)</f>
        <v>0</v>
      </c>
      <c r="I143">
        <f>F143 / PREF</f>
        <v>0</v>
      </c>
      <c r="J143">
        <f>H143 ^ EPS</f>
        <v>0</v>
      </c>
      <c r="K143">
        <f>THETA * B143 * I143</f>
        <v>0</v>
      </c>
      <c r="L143">
        <f>MIN(M142, J143 * CITY_A)</f>
        <v>0</v>
      </c>
      <c r="M143">
        <f>K143 * SIZE_M2</f>
        <v>0</v>
      </c>
      <c r="N143">
        <f>M142 - K143</f>
        <v>0</v>
      </c>
      <c r="O143">
        <f>SIZE_M2 * F143</f>
        <v>0</v>
      </c>
      <c r="P143">
        <f>L143 * F143</f>
        <v>0</v>
      </c>
      <c r="Q143">
        <f>O143 / (1+INF_A)^(A143-1)</f>
        <v>0</v>
      </c>
      <c r="R143">
        <f>Q142 + K143</f>
        <v>0</v>
      </c>
      <c r="S143">
        <f>INT((A143-1)/12)+1</f>
        <v>0</v>
      </c>
    </row>
    <row r="144" spans="1:19">
      <c r="A144">
        <v>143</v>
      </c>
      <c r="B144">
        <f>TEXT(DATEVALUE(START&amp;"-01")+ (ROW()-2),"yyyy-mm")</f>
        <v>0</v>
      </c>
      <c r="C144">
        <f>INDEX(SEASON_FACTORS,MOD(A144-1,12)+1)</f>
        <v>0</v>
      </c>
      <c r="D144">
        <f>INT((A144-1)/12)</f>
        <v>0</v>
      </c>
      <c r="E144">
        <f>COUNTIF(THRESH_ABS,"&lt;="&amp;Q143)</f>
        <v>0</v>
      </c>
      <c r="F144">
        <f>(1+STEP)^(C144+D144)</f>
        <v>0</v>
      </c>
      <c r="G144">
        <f>P0_M2 * (1+INF_A)^(A144-1) * (1+PLUS_A)^(A144-1) * E144</f>
        <v>0</v>
      </c>
      <c r="H144">
        <f>F144 / (1+INF_A)^(A144-1)</f>
        <v>0</v>
      </c>
      <c r="I144">
        <f>F144 / PREF</f>
        <v>0</v>
      </c>
      <c r="J144">
        <f>H144 ^ EPS</f>
        <v>0</v>
      </c>
      <c r="K144">
        <f>THETA * B144 * I144</f>
        <v>0</v>
      </c>
      <c r="L144">
        <f>MIN(M143, J144 * CITY_A)</f>
        <v>0</v>
      </c>
      <c r="M144">
        <f>K144 * SIZE_M2</f>
        <v>0</v>
      </c>
      <c r="N144">
        <f>M143 - K144</f>
        <v>0</v>
      </c>
      <c r="O144">
        <f>SIZE_M2 * F144</f>
        <v>0</v>
      </c>
      <c r="P144">
        <f>L144 * F144</f>
        <v>0</v>
      </c>
      <c r="Q144">
        <f>O144 / (1+INF_A)^(A144-1)</f>
        <v>0</v>
      </c>
      <c r="R144">
        <f>Q143 + K144</f>
        <v>0</v>
      </c>
      <c r="S144">
        <f>INT((A144-1)/12)+1</f>
        <v>0</v>
      </c>
    </row>
    <row r="145" spans="1:19">
      <c r="A145">
        <v>144</v>
      </c>
      <c r="B145">
        <f>TEXT(DATEVALUE(START&amp;"-01")+ (ROW()-2),"yyyy-mm")</f>
        <v>0</v>
      </c>
      <c r="C145">
        <f>INDEX(SEASON_FACTORS,MOD(A145-1,12)+1)</f>
        <v>0</v>
      </c>
      <c r="D145">
        <f>INT((A145-1)/12)</f>
        <v>0</v>
      </c>
      <c r="E145">
        <f>COUNTIF(THRESH_ABS,"&lt;="&amp;Q144)</f>
        <v>0</v>
      </c>
      <c r="F145">
        <f>(1+STEP)^(C145+D145)</f>
        <v>0</v>
      </c>
      <c r="G145">
        <f>P0_M2 * (1+INF_A)^(A145-1) * (1+PLUS_A)^(A145-1) * E145</f>
        <v>0</v>
      </c>
      <c r="H145">
        <f>F145 / (1+INF_A)^(A145-1)</f>
        <v>0</v>
      </c>
      <c r="I145">
        <f>F145 / PREF</f>
        <v>0</v>
      </c>
      <c r="J145">
        <f>H145 ^ EPS</f>
        <v>0</v>
      </c>
      <c r="K145">
        <f>THETA * B145 * I145</f>
        <v>0</v>
      </c>
      <c r="L145">
        <f>MIN(M144, J145 * CITY_A)</f>
        <v>0</v>
      </c>
      <c r="M145">
        <f>K145 * SIZE_M2</f>
        <v>0</v>
      </c>
      <c r="N145">
        <f>M144 - K145</f>
        <v>0</v>
      </c>
      <c r="O145">
        <f>SIZE_M2 * F145</f>
        <v>0</v>
      </c>
      <c r="P145">
        <f>L145 * F145</f>
        <v>0</v>
      </c>
      <c r="Q145">
        <f>O145 / (1+INF_A)^(A145-1)</f>
        <v>0</v>
      </c>
      <c r="R145">
        <f>Q144 + K145</f>
        <v>0</v>
      </c>
      <c r="S145">
        <f>INT((A145-1)/12)+1</f>
        <v>0</v>
      </c>
    </row>
    <row r="146" spans="1:19">
      <c r="A146">
        <v>145</v>
      </c>
      <c r="B146">
        <f>TEXT(DATEVALUE(START&amp;"-01")+ (ROW()-2),"yyyy-mm")</f>
        <v>0</v>
      </c>
      <c r="C146">
        <f>INDEX(SEASON_FACTORS,MOD(A146-1,12)+1)</f>
        <v>0</v>
      </c>
      <c r="D146">
        <f>INT((A146-1)/12)</f>
        <v>0</v>
      </c>
      <c r="E146">
        <f>COUNTIF(THRESH_ABS,"&lt;="&amp;Q145)</f>
        <v>0</v>
      </c>
      <c r="F146">
        <f>(1+STEP)^(C146+D146)</f>
        <v>0</v>
      </c>
      <c r="G146">
        <f>P0_M2 * (1+INF_A)^(A146-1) * (1+PLUS_A)^(A146-1) * E146</f>
        <v>0</v>
      </c>
      <c r="H146">
        <f>F146 / (1+INF_A)^(A146-1)</f>
        <v>0</v>
      </c>
      <c r="I146">
        <f>F146 / PREF</f>
        <v>0</v>
      </c>
      <c r="J146">
        <f>H146 ^ EPS</f>
        <v>0</v>
      </c>
      <c r="K146">
        <f>THETA * B146 * I146</f>
        <v>0</v>
      </c>
      <c r="L146">
        <f>MIN(M145, J146 * CITY_A)</f>
        <v>0</v>
      </c>
      <c r="M146">
        <f>K146 * SIZE_M2</f>
        <v>0</v>
      </c>
      <c r="N146">
        <f>M145 - K146</f>
        <v>0</v>
      </c>
      <c r="O146">
        <f>SIZE_M2 * F146</f>
        <v>0</v>
      </c>
      <c r="P146">
        <f>L146 * F146</f>
        <v>0</v>
      </c>
      <c r="Q146">
        <f>O146 / (1+INF_A)^(A146-1)</f>
        <v>0</v>
      </c>
      <c r="R146">
        <f>Q145 + K146</f>
        <v>0</v>
      </c>
      <c r="S146">
        <f>INT((A146-1)/12)+1</f>
        <v>0</v>
      </c>
    </row>
    <row r="147" spans="1:19">
      <c r="A147">
        <v>146</v>
      </c>
      <c r="B147">
        <f>TEXT(DATEVALUE(START&amp;"-01")+ (ROW()-2),"yyyy-mm")</f>
        <v>0</v>
      </c>
      <c r="C147">
        <f>INDEX(SEASON_FACTORS,MOD(A147-1,12)+1)</f>
        <v>0</v>
      </c>
      <c r="D147">
        <f>INT((A147-1)/12)</f>
        <v>0</v>
      </c>
      <c r="E147">
        <f>COUNTIF(THRESH_ABS,"&lt;="&amp;Q146)</f>
        <v>0</v>
      </c>
      <c r="F147">
        <f>(1+STEP)^(C147+D147)</f>
        <v>0</v>
      </c>
      <c r="G147">
        <f>P0_M2 * (1+INF_A)^(A147-1) * (1+PLUS_A)^(A147-1) * E147</f>
        <v>0</v>
      </c>
      <c r="H147">
        <f>F147 / (1+INF_A)^(A147-1)</f>
        <v>0</v>
      </c>
      <c r="I147">
        <f>F147 / PREF</f>
        <v>0</v>
      </c>
      <c r="J147">
        <f>H147 ^ EPS</f>
        <v>0</v>
      </c>
      <c r="K147">
        <f>THETA * B147 * I147</f>
        <v>0</v>
      </c>
      <c r="L147">
        <f>MIN(M146, J147 * CITY_A)</f>
        <v>0</v>
      </c>
      <c r="M147">
        <f>K147 * SIZE_M2</f>
        <v>0</v>
      </c>
      <c r="N147">
        <f>M146 - K147</f>
        <v>0</v>
      </c>
      <c r="O147">
        <f>SIZE_M2 * F147</f>
        <v>0</v>
      </c>
      <c r="P147">
        <f>L147 * F147</f>
        <v>0</v>
      </c>
      <c r="Q147">
        <f>O147 / (1+INF_A)^(A147-1)</f>
        <v>0</v>
      </c>
      <c r="R147">
        <f>Q146 + K147</f>
        <v>0</v>
      </c>
      <c r="S147">
        <f>INT((A147-1)/12)+1</f>
        <v>0</v>
      </c>
    </row>
    <row r="148" spans="1:19">
      <c r="A148">
        <v>147</v>
      </c>
      <c r="B148">
        <f>TEXT(DATEVALUE(START&amp;"-01")+ (ROW()-2),"yyyy-mm")</f>
        <v>0</v>
      </c>
      <c r="C148">
        <f>INDEX(SEASON_FACTORS,MOD(A148-1,12)+1)</f>
        <v>0</v>
      </c>
      <c r="D148">
        <f>INT((A148-1)/12)</f>
        <v>0</v>
      </c>
      <c r="E148">
        <f>COUNTIF(THRESH_ABS,"&lt;="&amp;Q147)</f>
        <v>0</v>
      </c>
      <c r="F148">
        <f>(1+STEP)^(C148+D148)</f>
        <v>0</v>
      </c>
      <c r="G148">
        <f>P0_M2 * (1+INF_A)^(A148-1) * (1+PLUS_A)^(A148-1) * E148</f>
        <v>0</v>
      </c>
      <c r="H148">
        <f>F148 / (1+INF_A)^(A148-1)</f>
        <v>0</v>
      </c>
      <c r="I148">
        <f>F148 / PREF</f>
        <v>0</v>
      </c>
      <c r="J148">
        <f>H148 ^ EPS</f>
        <v>0</v>
      </c>
      <c r="K148">
        <f>THETA * B148 * I148</f>
        <v>0</v>
      </c>
      <c r="L148">
        <f>MIN(M147, J148 * CITY_A)</f>
        <v>0</v>
      </c>
      <c r="M148">
        <f>K148 * SIZE_M2</f>
        <v>0</v>
      </c>
      <c r="N148">
        <f>M147 - K148</f>
        <v>0</v>
      </c>
      <c r="O148">
        <f>SIZE_M2 * F148</f>
        <v>0</v>
      </c>
      <c r="P148">
        <f>L148 * F148</f>
        <v>0</v>
      </c>
      <c r="Q148">
        <f>O148 / (1+INF_A)^(A148-1)</f>
        <v>0</v>
      </c>
      <c r="R148">
        <f>Q147 + K148</f>
        <v>0</v>
      </c>
      <c r="S148">
        <f>INT((A148-1)/12)+1</f>
        <v>0</v>
      </c>
    </row>
    <row r="149" spans="1:19">
      <c r="A149">
        <v>148</v>
      </c>
      <c r="B149">
        <f>TEXT(DATEVALUE(START&amp;"-01")+ (ROW()-2),"yyyy-mm")</f>
        <v>0</v>
      </c>
      <c r="C149">
        <f>INDEX(SEASON_FACTORS,MOD(A149-1,12)+1)</f>
        <v>0</v>
      </c>
      <c r="D149">
        <f>INT((A149-1)/12)</f>
        <v>0</v>
      </c>
      <c r="E149">
        <f>COUNTIF(THRESH_ABS,"&lt;="&amp;Q148)</f>
        <v>0</v>
      </c>
      <c r="F149">
        <f>(1+STEP)^(C149+D149)</f>
        <v>0</v>
      </c>
      <c r="G149">
        <f>P0_M2 * (1+INF_A)^(A149-1) * (1+PLUS_A)^(A149-1) * E149</f>
        <v>0</v>
      </c>
      <c r="H149">
        <f>F149 / (1+INF_A)^(A149-1)</f>
        <v>0</v>
      </c>
      <c r="I149">
        <f>F149 / PREF</f>
        <v>0</v>
      </c>
      <c r="J149">
        <f>H149 ^ EPS</f>
        <v>0</v>
      </c>
      <c r="K149">
        <f>THETA * B149 * I149</f>
        <v>0</v>
      </c>
      <c r="L149">
        <f>MIN(M148, J149 * CITY_A)</f>
        <v>0</v>
      </c>
      <c r="M149">
        <f>K149 * SIZE_M2</f>
        <v>0</v>
      </c>
      <c r="N149">
        <f>M148 - K149</f>
        <v>0</v>
      </c>
      <c r="O149">
        <f>SIZE_M2 * F149</f>
        <v>0</v>
      </c>
      <c r="P149">
        <f>L149 * F149</f>
        <v>0</v>
      </c>
      <c r="Q149">
        <f>O149 / (1+INF_A)^(A149-1)</f>
        <v>0</v>
      </c>
      <c r="R149">
        <f>Q148 + K149</f>
        <v>0</v>
      </c>
      <c r="S149">
        <f>INT((A149-1)/12)+1</f>
        <v>0</v>
      </c>
    </row>
    <row r="150" spans="1:19">
      <c r="A150">
        <v>149</v>
      </c>
      <c r="B150">
        <f>TEXT(DATEVALUE(START&amp;"-01")+ (ROW()-2),"yyyy-mm")</f>
        <v>0</v>
      </c>
      <c r="C150">
        <f>INDEX(SEASON_FACTORS,MOD(A150-1,12)+1)</f>
        <v>0</v>
      </c>
      <c r="D150">
        <f>INT((A150-1)/12)</f>
        <v>0</v>
      </c>
      <c r="E150">
        <f>COUNTIF(THRESH_ABS,"&lt;="&amp;Q149)</f>
        <v>0</v>
      </c>
      <c r="F150">
        <f>(1+STEP)^(C150+D150)</f>
        <v>0</v>
      </c>
      <c r="G150">
        <f>P0_M2 * (1+INF_A)^(A150-1) * (1+PLUS_A)^(A150-1) * E150</f>
        <v>0</v>
      </c>
      <c r="H150">
        <f>F150 / (1+INF_A)^(A150-1)</f>
        <v>0</v>
      </c>
      <c r="I150">
        <f>F150 / PREF</f>
        <v>0</v>
      </c>
      <c r="J150">
        <f>H150 ^ EPS</f>
        <v>0</v>
      </c>
      <c r="K150">
        <f>THETA * B150 * I150</f>
        <v>0</v>
      </c>
      <c r="L150">
        <f>MIN(M149, J150 * CITY_A)</f>
        <v>0</v>
      </c>
      <c r="M150">
        <f>K150 * SIZE_M2</f>
        <v>0</v>
      </c>
      <c r="N150">
        <f>M149 - K150</f>
        <v>0</v>
      </c>
      <c r="O150">
        <f>SIZE_M2 * F150</f>
        <v>0</v>
      </c>
      <c r="P150">
        <f>L150 * F150</f>
        <v>0</v>
      </c>
      <c r="Q150">
        <f>O150 / (1+INF_A)^(A150-1)</f>
        <v>0</v>
      </c>
      <c r="R150">
        <f>Q149 + K150</f>
        <v>0</v>
      </c>
      <c r="S150">
        <f>INT((A150-1)/12)+1</f>
        <v>0</v>
      </c>
    </row>
    <row r="151" spans="1:19">
      <c r="A151">
        <v>150</v>
      </c>
      <c r="B151">
        <f>TEXT(DATEVALUE(START&amp;"-01")+ (ROW()-2),"yyyy-mm")</f>
        <v>0</v>
      </c>
      <c r="C151">
        <f>INDEX(SEASON_FACTORS,MOD(A151-1,12)+1)</f>
        <v>0</v>
      </c>
      <c r="D151">
        <f>INT((A151-1)/12)</f>
        <v>0</v>
      </c>
      <c r="E151">
        <f>COUNTIF(THRESH_ABS,"&lt;="&amp;Q150)</f>
        <v>0</v>
      </c>
      <c r="F151">
        <f>(1+STEP)^(C151+D151)</f>
        <v>0</v>
      </c>
      <c r="G151">
        <f>P0_M2 * (1+INF_A)^(A151-1) * (1+PLUS_A)^(A151-1) * E151</f>
        <v>0</v>
      </c>
      <c r="H151">
        <f>F151 / (1+INF_A)^(A151-1)</f>
        <v>0</v>
      </c>
      <c r="I151">
        <f>F151 / PREF</f>
        <v>0</v>
      </c>
      <c r="J151">
        <f>H151 ^ EPS</f>
        <v>0</v>
      </c>
      <c r="K151">
        <f>THETA * B151 * I151</f>
        <v>0</v>
      </c>
      <c r="L151">
        <f>MIN(M150, J151 * CITY_A)</f>
        <v>0</v>
      </c>
      <c r="M151">
        <f>K151 * SIZE_M2</f>
        <v>0</v>
      </c>
      <c r="N151">
        <f>M150 - K151</f>
        <v>0</v>
      </c>
      <c r="O151">
        <f>SIZE_M2 * F151</f>
        <v>0</v>
      </c>
      <c r="P151">
        <f>L151 * F151</f>
        <v>0</v>
      </c>
      <c r="Q151">
        <f>O151 / (1+INF_A)^(A151-1)</f>
        <v>0</v>
      </c>
      <c r="R151">
        <f>Q150 + K151</f>
        <v>0</v>
      </c>
      <c r="S151">
        <f>INT((A151-1)/12)+1</f>
        <v>0</v>
      </c>
    </row>
    <row r="152" spans="1:19">
      <c r="A152">
        <v>151</v>
      </c>
      <c r="B152">
        <f>TEXT(DATEVALUE(START&amp;"-01")+ (ROW()-2),"yyyy-mm")</f>
        <v>0</v>
      </c>
      <c r="C152">
        <f>INDEX(SEASON_FACTORS,MOD(A152-1,12)+1)</f>
        <v>0</v>
      </c>
      <c r="D152">
        <f>INT((A152-1)/12)</f>
        <v>0</v>
      </c>
      <c r="E152">
        <f>COUNTIF(THRESH_ABS,"&lt;="&amp;Q151)</f>
        <v>0</v>
      </c>
      <c r="F152">
        <f>(1+STEP)^(C152+D152)</f>
        <v>0</v>
      </c>
      <c r="G152">
        <f>P0_M2 * (1+INF_A)^(A152-1) * (1+PLUS_A)^(A152-1) * E152</f>
        <v>0</v>
      </c>
      <c r="H152">
        <f>F152 / (1+INF_A)^(A152-1)</f>
        <v>0</v>
      </c>
      <c r="I152">
        <f>F152 / PREF</f>
        <v>0</v>
      </c>
      <c r="J152">
        <f>H152 ^ EPS</f>
        <v>0</v>
      </c>
      <c r="K152">
        <f>THETA * B152 * I152</f>
        <v>0</v>
      </c>
      <c r="L152">
        <f>MIN(M151, J152 * CITY_A)</f>
        <v>0</v>
      </c>
      <c r="M152">
        <f>K152 * SIZE_M2</f>
        <v>0</v>
      </c>
      <c r="N152">
        <f>M151 - K152</f>
        <v>0</v>
      </c>
      <c r="O152">
        <f>SIZE_M2 * F152</f>
        <v>0</v>
      </c>
      <c r="P152">
        <f>L152 * F152</f>
        <v>0</v>
      </c>
      <c r="Q152">
        <f>O152 / (1+INF_A)^(A152-1)</f>
        <v>0</v>
      </c>
      <c r="R152">
        <f>Q151 + K152</f>
        <v>0</v>
      </c>
      <c r="S152">
        <f>INT((A152-1)/12)+1</f>
        <v>0</v>
      </c>
    </row>
    <row r="153" spans="1:19">
      <c r="A153">
        <v>152</v>
      </c>
      <c r="B153">
        <f>TEXT(DATEVALUE(START&amp;"-01")+ (ROW()-2),"yyyy-mm")</f>
        <v>0</v>
      </c>
      <c r="C153">
        <f>INDEX(SEASON_FACTORS,MOD(A153-1,12)+1)</f>
        <v>0</v>
      </c>
      <c r="D153">
        <f>INT((A153-1)/12)</f>
        <v>0</v>
      </c>
      <c r="E153">
        <f>COUNTIF(THRESH_ABS,"&lt;="&amp;Q152)</f>
        <v>0</v>
      </c>
      <c r="F153">
        <f>(1+STEP)^(C153+D153)</f>
        <v>0</v>
      </c>
      <c r="G153">
        <f>P0_M2 * (1+INF_A)^(A153-1) * (1+PLUS_A)^(A153-1) * E153</f>
        <v>0</v>
      </c>
      <c r="H153">
        <f>F153 / (1+INF_A)^(A153-1)</f>
        <v>0</v>
      </c>
      <c r="I153">
        <f>F153 / PREF</f>
        <v>0</v>
      </c>
      <c r="J153">
        <f>H153 ^ EPS</f>
        <v>0</v>
      </c>
      <c r="K153">
        <f>THETA * B153 * I153</f>
        <v>0</v>
      </c>
      <c r="L153">
        <f>MIN(M152, J153 * CITY_A)</f>
        <v>0</v>
      </c>
      <c r="M153">
        <f>K153 * SIZE_M2</f>
        <v>0</v>
      </c>
      <c r="N153">
        <f>M152 - K153</f>
        <v>0</v>
      </c>
      <c r="O153">
        <f>SIZE_M2 * F153</f>
        <v>0</v>
      </c>
      <c r="P153">
        <f>L153 * F153</f>
        <v>0</v>
      </c>
      <c r="Q153">
        <f>O153 / (1+INF_A)^(A153-1)</f>
        <v>0</v>
      </c>
      <c r="R153">
        <f>Q152 + K153</f>
        <v>0</v>
      </c>
      <c r="S153">
        <f>INT((A153-1)/12)+1</f>
        <v>0</v>
      </c>
    </row>
    <row r="154" spans="1:19">
      <c r="A154">
        <v>153</v>
      </c>
      <c r="B154">
        <f>TEXT(DATEVALUE(START&amp;"-01")+ (ROW()-2),"yyyy-mm")</f>
        <v>0</v>
      </c>
      <c r="C154">
        <f>INDEX(SEASON_FACTORS,MOD(A154-1,12)+1)</f>
        <v>0</v>
      </c>
      <c r="D154">
        <f>INT((A154-1)/12)</f>
        <v>0</v>
      </c>
      <c r="E154">
        <f>COUNTIF(THRESH_ABS,"&lt;="&amp;Q153)</f>
        <v>0</v>
      </c>
      <c r="F154">
        <f>(1+STEP)^(C154+D154)</f>
        <v>0</v>
      </c>
      <c r="G154">
        <f>P0_M2 * (1+INF_A)^(A154-1) * (1+PLUS_A)^(A154-1) * E154</f>
        <v>0</v>
      </c>
      <c r="H154">
        <f>F154 / (1+INF_A)^(A154-1)</f>
        <v>0</v>
      </c>
      <c r="I154">
        <f>F154 / PREF</f>
        <v>0</v>
      </c>
      <c r="J154">
        <f>H154 ^ EPS</f>
        <v>0</v>
      </c>
      <c r="K154">
        <f>THETA * B154 * I154</f>
        <v>0</v>
      </c>
      <c r="L154">
        <f>MIN(M153, J154 * CITY_A)</f>
        <v>0</v>
      </c>
      <c r="M154">
        <f>K154 * SIZE_M2</f>
        <v>0</v>
      </c>
      <c r="N154">
        <f>M153 - K154</f>
        <v>0</v>
      </c>
      <c r="O154">
        <f>SIZE_M2 * F154</f>
        <v>0</v>
      </c>
      <c r="P154">
        <f>L154 * F154</f>
        <v>0</v>
      </c>
      <c r="Q154">
        <f>O154 / (1+INF_A)^(A154-1)</f>
        <v>0</v>
      </c>
      <c r="R154">
        <f>Q153 + K154</f>
        <v>0</v>
      </c>
      <c r="S154">
        <f>INT((A154-1)/12)+1</f>
        <v>0</v>
      </c>
    </row>
    <row r="155" spans="1:19">
      <c r="A155">
        <v>154</v>
      </c>
      <c r="B155">
        <f>TEXT(DATEVALUE(START&amp;"-01")+ (ROW()-2),"yyyy-mm")</f>
        <v>0</v>
      </c>
      <c r="C155">
        <f>INDEX(SEASON_FACTORS,MOD(A155-1,12)+1)</f>
        <v>0</v>
      </c>
      <c r="D155">
        <f>INT((A155-1)/12)</f>
        <v>0</v>
      </c>
      <c r="E155">
        <f>COUNTIF(THRESH_ABS,"&lt;="&amp;Q154)</f>
        <v>0</v>
      </c>
      <c r="F155">
        <f>(1+STEP)^(C155+D155)</f>
        <v>0</v>
      </c>
      <c r="G155">
        <f>P0_M2 * (1+INF_A)^(A155-1) * (1+PLUS_A)^(A155-1) * E155</f>
        <v>0</v>
      </c>
      <c r="H155">
        <f>F155 / (1+INF_A)^(A155-1)</f>
        <v>0</v>
      </c>
      <c r="I155">
        <f>F155 / PREF</f>
        <v>0</v>
      </c>
      <c r="J155">
        <f>H155 ^ EPS</f>
        <v>0</v>
      </c>
      <c r="K155">
        <f>THETA * B155 * I155</f>
        <v>0</v>
      </c>
      <c r="L155">
        <f>MIN(M154, J155 * CITY_A)</f>
        <v>0</v>
      </c>
      <c r="M155">
        <f>K155 * SIZE_M2</f>
        <v>0</v>
      </c>
      <c r="N155">
        <f>M154 - K155</f>
        <v>0</v>
      </c>
      <c r="O155">
        <f>SIZE_M2 * F155</f>
        <v>0</v>
      </c>
      <c r="P155">
        <f>L155 * F155</f>
        <v>0</v>
      </c>
      <c r="Q155">
        <f>O155 / (1+INF_A)^(A155-1)</f>
        <v>0</v>
      </c>
      <c r="R155">
        <f>Q154 + K155</f>
        <v>0</v>
      </c>
      <c r="S155">
        <f>INT((A155-1)/12)+1</f>
        <v>0</v>
      </c>
    </row>
    <row r="156" spans="1:19">
      <c r="A156">
        <v>155</v>
      </c>
      <c r="B156">
        <f>TEXT(DATEVALUE(START&amp;"-01")+ (ROW()-2),"yyyy-mm")</f>
        <v>0</v>
      </c>
      <c r="C156">
        <f>INDEX(SEASON_FACTORS,MOD(A156-1,12)+1)</f>
        <v>0</v>
      </c>
      <c r="D156">
        <f>INT((A156-1)/12)</f>
        <v>0</v>
      </c>
      <c r="E156">
        <f>COUNTIF(THRESH_ABS,"&lt;="&amp;Q155)</f>
        <v>0</v>
      </c>
      <c r="F156">
        <f>(1+STEP)^(C156+D156)</f>
        <v>0</v>
      </c>
      <c r="G156">
        <f>P0_M2 * (1+INF_A)^(A156-1) * (1+PLUS_A)^(A156-1) * E156</f>
        <v>0</v>
      </c>
      <c r="H156">
        <f>F156 / (1+INF_A)^(A156-1)</f>
        <v>0</v>
      </c>
      <c r="I156">
        <f>F156 / PREF</f>
        <v>0</v>
      </c>
      <c r="J156">
        <f>H156 ^ EPS</f>
        <v>0</v>
      </c>
      <c r="K156">
        <f>THETA * B156 * I156</f>
        <v>0</v>
      </c>
      <c r="L156">
        <f>MIN(M155, J156 * CITY_A)</f>
        <v>0</v>
      </c>
      <c r="M156">
        <f>K156 * SIZE_M2</f>
        <v>0</v>
      </c>
      <c r="N156">
        <f>M155 - K156</f>
        <v>0</v>
      </c>
      <c r="O156">
        <f>SIZE_M2 * F156</f>
        <v>0</v>
      </c>
      <c r="P156">
        <f>L156 * F156</f>
        <v>0</v>
      </c>
      <c r="Q156">
        <f>O156 / (1+INF_A)^(A156-1)</f>
        <v>0</v>
      </c>
      <c r="R156">
        <f>Q155 + K156</f>
        <v>0</v>
      </c>
      <c r="S156">
        <f>INT((A156-1)/12)+1</f>
        <v>0</v>
      </c>
    </row>
    <row r="157" spans="1:19">
      <c r="A157">
        <v>156</v>
      </c>
      <c r="B157">
        <f>TEXT(DATEVALUE(START&amp;"-01")+ (ROW()-2),"yyyy-mm")</f>
        <v>0</v>
      </c>
      <c r="C157">
        <f>INDEX(SEASON_FACTORS,MOD(A157-1,12)+1)</f>
        <v>0</v>
      </c>
      <c r="D157">
        <f>INT((A157-1)/12)</f>
        <v>0</v>
      </c>
      <c r="E157">
        <f>COUNTIF(THRESH_ABS,"&lt;="&amp;Q156)</f>
        <v>0</v>
      </c>
      <c r="F157">
        <f>(1+STEP)^(C157+D157)</f>
        <v>0</v>
      </c>
      <c r="G157">
        <f>P0_M2 * (1+INF_A)^(A157-1) * (1+PLUS_A)^(A157-1) * E157</f>
        <v>0</v>
      </c>
      <c r="H157">
        <f>F157 / (1+INF_A)^(A157-1)</f>
        <v>0</v>
      </c>
      <c r="I157">
        <f>F157 / PREF</f>
        <v>0</v>
      </c>
      <c r="J157">
        <f>H157 ^ EPS</f>
        <v>0</v>
      </c>
      <c r="K157">
        <f>THETA * B157 * I157</f>
        <v>0</v>
      </c>
      <c r="L157">
        <f>MIN(M156, J157 * CITY_A)</f>
        <v>0</v>
      </c>
      <c r="M157">
        <f>K157 * SIZE_M2</f>
        <v>0</v>
      </c>
      <c r="N157">
        <f>M156 - K157</f>
        <v>0</v>
      </c>
      <c r="O157">
        <f>SIZE_M2 * F157</f>
        <v>0</v>
      </c>
      <c r="P157">
        <f>L157 * F157</f>
        <v>0</v>
      </c>
      <c r="Q157">
        <f>O157 / (1+INF_A)^(A157-1)</f>
        <v>0</v>
      </c>
      <c r="R157">
        <f>Q156 + K157</f>
        <v>0</v>
      </c>
      <c r="S157">
        <f>INT((A157-1)/12)+1</f>
        <v>0</v>
      </c>
    </row>
    <row r="158" spans="1:19">
      <c r="A158">
        <v>157</v>
      </c>
      <c r="B158">
        <f>TEXT(DATEVALUE(START&amp;"-01")+ (ROW()-2),"yyyy-mm")</f>
        <v>0</v>
      </c>
      <c r="C158">
        <f>INDEX(SEASON_FACTORS,MOD(A158-1,12)+1)</f>
        <v>0</v>
      </c>
      <c r="D158">
        <f>INT((A158-1)/12)</f>
        <v>0</v>
      </c>
      <c r="E158">
        <f>COUNTIF(THRESH_ABS,"&lt;="&amp;Q157)</f>
        <v>0</v>
      </c>
      <c r="F158">
        <f>(1+STEP)^(C158+D158)</f>
        <v>0</v>
      </c>
      <c r="G158">
        <f>P0_M2 * (1+INF_A)^(A158-1) * (1+PLUS_A)^(A158-1) * E158</f>
        <v>0</v>
      </c>
      <c r="H158">
        <f>F158 / (1+INF_A)^(A158-1)</f>
        <v>0</v>
      </c>
      <c r="I158">
        <f>F158 / PREF</f>
        <v>0</v>
      </c>
      <c r="J158">
        <f>H158 ^ EPS</f>
        <v>0</v>
      </c>
      <c r="K158">
        <f>THETA * B158 * I158</f>
        <v>0</v>
      </c>
      <c r="L158">
        <f>MIN(M157, J158 * CITY_A)</f>
        <v>0</v>
      </c>
      <c r="M158">
        <f>K158 * SIZE_M2</f>
        <v>0</v>
      </c>
      <c r="N158">
        <f>M157 - K158</f>
        <v>0</v>
      </c>
      <c r="O158">
        <f>SIZE_M2 * F158</f>
        <v>0</v>
      </c>
      <c r="P158">
        <f>L158 * F158</f>
        <v>0</v>
      </c>
      <c r="Q158">
        <f>O158 / (1+INF_A)^(A158-1)</f>
        <v>0</v>
      </c>
      <c r="R158">
        <f>Q157 + K158</f>
        <v>0</v>
      </c>
      <c r="S158">
        <f>INT((A158-1)/12)+1</f>
        <v>0</v>
      </c>
    </row>
    <row r="159" spans="1:19">
      <c r="A159">
        <v>158</v>
      </c>
      <c r="B159">
        <f>TEXT(DATEVALUE(START&amp;"-01")+ (ROW()-2),"yyyy-mm")</f>
        <v>0</v>
      </c>
      <c r="C159">
        <f>INDEX(SEASON_FACTORS,MOD(A159-1,12)+1)</f>
        <v>0</v>
      </c>
      <c r="D159">
        <f>INT((A159-1)/12)</f>
        <v>0</v>
      </c>
      <c r="E159">
        <f>COUNTIF(THRESH_ABS,"&lt;="&amp;Q158)</f>
        <v>0</v>
      </c>
      <c r="F159">
        <f>(1+STEP)^(C159+D159)</f>
        <v>0</v>
      </c>
      <c r="G159">
        <f>P0_M2 * (1+INF_A)^(A159-1) * (1+PLUS_A)^(A159-1) * E159</f>
        <v>0</v>
      </c>
      <c r="H159">
        <f>F159 / (1+INF_A)^(A159-1)</f>
        <v>0</v>
      </c>
      <c r="I159">
        <f>F159 / PREF</f>
        <v>0</v>
      </c>
      <c r="J159">
        <f>H159 ^ EPS</f>
        <v>0</v>
      </c>
      <c r="K159">
        <f>THETA * B159 * I159</f>
        <v>0</v>
      </c>
      <c r="L159">
        <f>MIN(M158, J159 * CITY_A)</f>
        <v>0</v>
      </c>
      <c r="M159">
        <f>K159 * SIZE_M2</f>
        <v>0</v>
      </c>
      <c r="N159">
        <f>M158 - K159</f>
        <v>0</v>
      </c>
      <c r="O159">
        <f>SIZE_M2 * F159</f>
        <v>0</v>
      </c>
      <c r="P159">
        <f>L159 * F159</f>
        <v>0</v>
      </c>
      <c r="Q159">
        <f>O159 / (1+INF_A)^(A159-1)</f>
        <v>0</v>
      </c>
      <c r="R159">
        <f>Q158 + K159</f>
        <v>0</v>
      </c>
      <c r="S159">
        <f>INT((A159-1)/12)+1</f>
        <v>0</v>
      </c>
    </row>
    <row r="160" spans="1:19">
      <c r="A160">
        <v>159</v>
      </c>
      <c r="B160">
        <f>TEXT(DATEVALUE(START&amp;"-01")+ (ROW()-2),"yyyy-mm")</f>
        <v>0</v>
      </c>
      <c r="C160">
        <f>INDEX(SEASON_FACTORS,MOD(A160-1,12)+1)</f>
        <v>0</v>
      </c>
      <c r="D160">
        <f>INT((A160-1)/12)</f>
        <v>0</v>
      </c>
      <c r="E160">
        <f>COUNTIF(THRESH_ABS,"&lt;="&amp;Q159)</f>
        <v>0</v>
      </c>
      <c r="F160">
        <f>(1+STEP)^(C160+D160)</f>
        <v>0</v>
      </c>
      <c r="G160">
        <f>P0_M2 * (1+INF_A)^(A160-1) * (1+PLUS_A)^(A160-1) * E160</f>
        <v>0</v>
      </c>
      <c r="H160">
        <f>F160 / (1+INF_A)^(A160-1)</f>
        <v>0</v>
      </c>
      <c r="I160">
        <f>F160 / PREF</f>
        <v>0</v>
      </c>
      <c r="J160">
        <f>H160 ^ EPS</f>
        <v>0</v>
      </c>
      <c r="K160">
        <f>THETA * B160 * I160</f>
        <v>0</v>
      </c>
      <c r="L160">
        <f>MIN(M159, J160 * CITY_A)</f>
        <v>0</v>
      </c>
      <c r="M160">
        <f>K160 * SIZE_M2</f>
        <v>0</v>
      </c>
      <c r="N160">
        <f>M159 - K160</f>
        <v>0</v>
      </c>
      <c r="O160">
        <f>SIZE_M2 * F160</f>
        <v>0</v>
      </c>
      <c r="P160">
        <f>L160 * F160</f>
        <v>0</v>
      </c>
      <c r="Q160">
        <f>O160 / (1+INF_A)^(A160-1)</f>
        <v>0</v>
      </c>
      <c r="R160">
        <f>Q159 + K160</f>
        <v>0</v>
      </c>
      <c r="S160">
        <f>INT((A160-1)/12)+1</f>
        <v>0</v>
      </c>
    </row>
    <row r="161" spans="1:19">
      <c r="A161">
        <v>160</v>
      </c>
      <c r="B161">
        <f>TEXT(DATEVALUE(START&amp;"-01")+ (ROW()-2),"yyyy-mm")</f>
        <v>0</v>
      </c>
      <c r="C161">
        <f>INDEX(SEASON_FACTORS,MOD(A161-1,12)+1)</f>
        <v>0</v>
      </c>
      <c r="D161">
        <f>INT((A161-1)/12)</f>
        <v>0</v>
      </c>
      <c r="E161">
        <f>COUNTIF(THRESH_ABS,"&lt;="&amp;Q160)</f>
        <v>0</v>
      </c>
      <c r="F161">
        <f>(1+STEP)^(C161+D161)</f>
        <v>0</v>
      </c>
      <c r="G161">
        <f>P0_M2 * (1+INF_A)^(A161-1) * (1+PLUS_A)^(A161-1) * E161</f>
        <v>0</v>
      </c>
      <c r="H161">
        <f>F161 / (1+INF_A)^(A161-1)</f>
        <v>0</v>
      </c>
      <c r="I161">
        <f>F161 / PREF</f>
        <v>0</v>
      </c>
      <c r="J161">
        <f>H161 ^ EPS</f>
        <v>0</v>
      </c>
      <c r="K161">
        <f>THETA * B161 * I161</f>
        <v>0</v>
      </c>
      <c r="L161">
        <f>MIN(M160, J161 * CITY_A)</f>
        <v>0</v>
      </c>
      <c r="M161">
        <f>K161 * SIZE_M2</f>
        <v>0</v>
      </c>
      <c r="N161">
        <f>M160 - K161</f>
        <v>0</v>
      </c>
      <c r="O161">
        <f>SIZE_M2 * F161</f>
        <v>0</v>
      </c>
      <c r="P161">
        <f>L161 * F161</f>
        <v>0</v>
      </c>
      <c r="Q161">
        <f>O161 / (1+INF_A)^(A161-1)</f>
        <v>0</v>
      </c>
      <c r="R161">
        <f>Q160 + K161</f>
        <v>0</v>
      </c>
      <c r="S161">
        <f>INT((A161-1)/12)+1</f>
        <v>0</v>
      </c>
    </row>
    <row r="162" spans="1:19">
      <c r="A162">
        <v>161</v>
      </c>
      <c r="B162">
        <f>TEXT(DATEVALUE(START&amp;"-01")+ (ROW()-2),"yyyy-mm")</f>
        <v>0</v>
      </c>
      <c r="C162">
        <f>INDEX(SEASON_FACTORS,MOD(A162-1,12)+1)</f>
        <v>0</v>
      </c>
      <c r="D162">
        <f>INT((A162-1)/12)</f>
        <v>0</v>
      </c>
      <c r="E162">
        <f>COUNTIF(THRESH_ABS,"&lt;="&amp;Q161)</f>
        <v>0</v>
      </c>
      <c r="F162">
        <f>(1+STEP)^(C162+D162)</f>
        <v>0</v>
      </c>
      <c r="G162">
        <f>P0_M2 * (1+INF_A)^(A162-1) * (1+PLUS_A)^(A162-1) * E162</f>
        <v>0</v>
      </c>
      <c r="H162">
        <f>F162 / (1+INF_A)^(A162-1)</f>
        <v>0</v>
      </c>
      <c r="I162">
        <f>F162 / PREF</f>
        <v>0</v>
      </c>
      <c r="J162">
        <f>H162 ^ EPS</f>
        <v>0</v>
      </c>
      <c r="K162">
        <f>THETA * B162 * I162</f>
        <v>0</v>
      </c>
      <c r="L162">
        <f>MIN(M161, J162 * CITY_A)</f>
        <v>0</v>
      </c>
      <c r="M162">
        <f>K162 * SIZE_M2</f>
        <v>0</v>
      </c>
      <c r="N162">
        <f>M161 - K162</f>
        <v>0</v>
      </c>
      <c r="O162">
        <f>SIZE_M2 * F162</f>
        <v>0</v>
      </c>
      <c r="P162">
        <f>L162 * F162</f>
        <v>0</v>
      </c>
      <c r="Q162">
        <f>O162 / (1+INF_A)^(A162-1)</f>
        <v>0</v>
      </c>
      <c r="R162">
        <f>Q161 + K162</f>
        <v>0</v>
      </c>
      <c r="S162">
        <f>INT((A162-1)/12)+1</f>
        <v>0</v>
      </c>
    </row>
    <row r="163" spans="1:19">
      <c r="A163">
        <v>162</v>
      </c>
      <c r="B163">
        <f>TEXT(DATEVALUE(START&amp;"-01")+ (ROW()-2),"yyyy-mm")</f>
        <v>0</v>
      </c>
      <c r="C163">
        <f>INDEX(SEASON_FACTORS,MOD(A163-1,12)+1)</f>
        <v>0</v>
      </c>
      <c r="D163">
        <f>INT((A163-1)/12)</f>
        <v>0</v>
      </c>
      <c r="E163">
        <f>COUNTIF(THRESH_ABS,"&lt;="&amp;Q162)</f>
        <v>0</v>
      </c>
      <c r="F163">
        <f>(1+STEP)^(C163+D163)</f>
        <v>0</v>
      </c>
      <c r="G163">
        <f>P0_M2 * (1+INF_A)^(A163-1) * (1+PLUS_A)^(A163-1) * E163</f>
        <v>0</v>
      </c>
      <c r="H163">
        <f>F163 / (1+INF_A)^(A163-1)</f>
        <v>0</v>
      </c>
      <c r="I163">
        <f>F163 / PREF</f>
        <v>0</v>
      </c>
      <c r="J163">
        <f>H163 ^ EPS</f>
        <v>0</v>
      </c>
      <c r="K163">
        <f>THETA * B163 * I163</f>
        <v>0</v>
      </c>
      <c r="L163">
        <f>MIN(M162, J163 * CITY_A)</f>
        <v>0</v>
      </c>
      <c r="M163">
        <f>K163 * SIZE_M2</f>
        <v>0</v>
      </c>
      <c r="N163">
        <f>M162 - K163</f>
        <v>0</v>
      </c>
      <c r="O163">
        <f>SIZE_M2 * F163</f>
        <v>0</v>
      </c>
      <c r="P163">
        <f>L163 * F163</f>
        <v>0</v>
      </c>
      <c r="Q163">
        <f>O163 / (1+INF_A)^(A163-1)</f>
        <v>0</v>
      </c>
      <c r="R163">
        <f>Q162 + K163</f>
        <v>0</v>
      </c>
      <c r="S163">
        <f>INT((A163-1)/12)+1</f>
        <v>0</v>
      </c>
    </row>
    <row r="164" spans="1:19">
      <c r="A164">
        <v>163</v>
      </c>
      <c r="B164">
        <f>TEXT(DATEVALUE(START&amp;"-01")+ (ROW()-2),"yyyy-mm")</f>
        <v>0</v>
      </c>
      <c r="C164">
        <f>INDEX(SEASON_FACTORS,MOD(A164-1,12)+1)</f>
        <v>0</v>
      </c>
      <c r="D164">
        <f>INT((A164-1)/12)</f>
        <v>0</v>
      </c>
      <c r="E164">
        <f>COUNTIF(THRESH_ABS,"&lt;="&amp;Q163)</f>
        <v>0</v>
      </c>
      <c r="F164">
        <f>(1+STEP)^(C164+D164)</f>
        <v>0</v>
      </c>
      <c r="G164">
        <f>P0_M2 * (1+INF_A)^(A164-1) * (1+PLUS_A)^(A164-1) * E164</f>
        <v>0</v>
      </c>
      <c r="H164">
        <f>F164 / (1+INF_A)^(A164-1)</f>
        <v>0</v>
      </c>
      <c r="I164">
        <f>F164 / PREF</f>
        <v>0</v>
      </c>
      <c r="J164">
        <f>H164 ^ EPS</f>
        <v>0</v>
      </c>
      <c r="K164">
        <f>THETA * B164 * I164</f>
        <v>0</v>
      </c>
      <c r="L164">
        <f>MIN(M163, J164 * CITY_A)</f>
        <v>0</v>
      </c>
      <c r="M164">
        <f>K164 * SIZE_M2</f>
        <v>0</v>
      </c>
      <c r="N164">
        <f>M163 - K164</f>
        <v>0</v>
      </c>
      <c r="O164">
        <f>SIZE_M2 * F164</f>
        <v>0</v>
      </c>
      <c r="P164">
        <f>L164 * F164</f>
        <v>0</v>
      </c>
      <c r="Q164">
        <f>O164 / (1+INF_A)^(A164-1)</f>
        <v>0</v>
      </c>
      <c r="R164">
        <f>Q163 + K164</f>
        <v>0</v>
      </c>
      <c r="S164">
        <f>INT((A164-1)/12)+1</f>
        <v>0</v>
      </c>
    </row>
    <row r="165" spans="1:19">
      <c r="A165">
        <v>164</v>
      </c>
      <c r="B165">
        <f>TEXT(DATEVALUE(START&amp;"-01")+ (ROW()-2),"yyyy-mm")</f>
        <v>0</v>
      </c>
      <c r="C165">
        <f>INDEX(SEASON_FACTORS,MOD(A165-1,12)+1)</f>
        <v>0</v>
      </c>
      <c r="D165">
        <f>INT((A165-1)/12)</f>
        <v>0</v>
      </c>
      <c r="E165">
        <f>COUNTIF(THRESH_ABS,"&lt;="&amp;Q164)</f>
        <v>0</v>
      </c>
      <c r="F165">
        <f>(1+STEP)^(C165+D165)</f>
        <v>0</v>
      </c>
      <c r="G165">
        <f>P0_M2 * (1+INF_A)^(A165-1) * (1+PLUS_A)^(A165-1) * E165</f>
        <v>0</v>
      </c>
      <c r="H165">
        <f>F165 / (1+INF_A)^(A165-1)</f>
        <v>0</v>
      </c>
      <c r="I165">
        <f>F165 / PREF</f>
        <v>0</v>
      </c>
      <c r="J165">
        <f>H165 ^ EPS</f>
        <v>0</v>
      </c>
      <c r="K165">
        <f>THETA * B165 * I165</f>
        <v>0</v>
      </c>
      <c r="L165">
        <f>MIN(M164, J165 * CITY_A)</f>
        <v>0</v>
      </c>
      <c r="M165">
        <f>K165 * SIZE_M2</f>
        <v>0</v>
      </c>
      <c r="N165">
        <f>M164 - K165</f>
        <v>0</v>
      </c>
      <c r="O165">
        <f>SIZE_M2 * F165</f>
        <v>0</v>
      </c>
      <c r="P165">
        <f>L165 * F165</f>
        <v>0</v>
      </c>
      <c r="Q165">
        <f>O165 / (1+INF_A)^(A165-1)</f>
        <v>0</v>
      </c>
      <c r="R165">
        <f>Q164 + K165</f>
        <v>0</v>
      </c>
      <c r="S165">
        <f>INT((A165-1)/12)+1</f>
        <v>0</v>
      </c>
    </row>
    <row r="166" spans="1:19">
      <c r="A166">
        <v>165</v>
      </c>
      <c r="B166">
        <f>TEXT(DATEVALUE(START&amp;"-01")+ (ROW()-2),"yyyy-mm")</f>
        <v>0</v>
      </c>
      <c r="C166">
        <f>INDEX(SEASON_FACTORS,MOD(A166-1,12)+1)</f>
        <v>0</v>
      </c>
      <c r="D166">
        <f>INT((A166-1)/12)</f>
        <v>0</v>
      </c>
      <c r="E166">
        <f>COUNTIF(THRESH_ABS,"&lt;="&amp;Q165)</f>
        <v>0</v>
      </c>
      <c r="F166">
        <f>(1+STEP)^(C166+D166)</f>
        <v>0</v>
      </c>
      <c r="G166">
        <f>P0_M2 * (1+INF_A)^(A166-1) * (1+PLUS_A)^(A166-1) * E166</f>
        <v>0</v>
      </c>
      <c r="H166">
        <f>F166 / (1+INF_A)^(A166-1)</f>
        <v>0</v>
      </c>
      <c r="I166">
        <f>F166 / PREF</f>
        <v>0</v>
      </c>
      <c r="J166">
        <f>H166 ^ EPS</f>
        <v>0</v>
      </c>
      <c r="K166">
        <f>THETA * B166 * I166</f>
        <v>0</v>
      </c>
      <c r="L166">
        <f>MIN(M165, J166 * CITY_A)</f>
        <v>0</v>
      </c>
      <c r="M166">
        <f>K166 * SIZE_M2</f>
        <v>0</v>
      </c>
      <c r="N166">
        <f>M165 - K166</f>
        <v>0</v>
      </c>
      <c r="O166">
        <f>SIZE_M2 * F166</f>
        <v>0</v>
      </c>
      <c r="P166">
        <f>L166 * F166</f>
        <v>0</v>
      </c>
      <c r="Q166">
        <f>O166 / (1+INF_A)^(A166-1)</f>
        <v>0</v>
      </c>
      <c r="R166">
        <f>Q165 + K166</f>
        <v>0</v>
      </c>
      <c r="S166">
        <f>INT((A166-1)/12)+1</f>
        <v>0</v>
      </c>
    </row>
    <row r="167" spans="1:19">
      <c r="A167">
        <v>166</v>
      </c>
      <c r="B167">
        <f>TEXT(DATEVALUE(START&amp;"-01")+ (ROW()-2),"yyyy-mm")</f>
        <v>0</v>
      </c>
      <c r="C167">
        <f>INDEX(SEASON_FACTORS,MOD(A167-1,12)+1)</f>
        <v>0</v>
      </c>
      <c r="D167">
        <f>INT((A167-1)/12)</f>
        <v>0</v>
      </c>
      <c r="E167">
        <f>COUNTIF(THRESH_ABS,"&lt;="&amp;Q166)</f>
        <v>0</v>
      </c>
      <c r="F167">
        <f>(1+STEP)^(C167+D167)</f>
        <v>0</v>
      </c>
      <c r="G167">
        <f>P0_M2 * (1+INF_A)^(A167-1) * (1+PLUS_A)^(A167-1) * E167</f>
        <v>0</v>
      </c>
      <c r="H167">
        <f>F167 / (1+INF_A)^(A167-1)</f>
        <v>0</v>
      </c>
      <c r="I167">
        <f>F167 / PREF</f>
        <v>0</v>
      </c>
      <c r="J167">
        <f>H167 ^ EPS</f>
        <v>0</v>
      </c>
      <c r="K167">
        <f>THETA * B167 * I167</f>
        <v>0</v>
      </c>
      <c r="L167">
        <f>MIN(M166, J167 * CITY_A)</f>
        <v>0</v>
      </c>
      <c r="M167">
        <f>K167 * SIZE_M2</f>
        <v>0</v>
      </c>
      <c r="N167">
        <f>M166 - K167</f>
        <v>0</v>
      </c>
      <c r="O167">
        <f>SIZE_M2 * F167</f>
        <v>0</v>
      </c>
      <c r="P167">
        <f>L167 * F167</f>
        <v>0</v>
      </c>
      <c r="Q167">
        <f>O167 / (1+INF_A)^(A167-1)</f>
        <v>0</v>
      </c>
      <c r="R167">
        <f>Q166 + K167</f>
        <v>0</v>
      </c>
      <c r="S167">
        <f>INT((A167-1)/12)+1</f>
        <v>0</v>
      </c>
    </row>
    <row r="168" spans="1:19">
      <c r="A168">
        <v>167</v>
      </c>
      <c r="B168">
        <f>TEXT(DATEVALUE(START&amp;"-01")+ (ROW()-2),"yyyy-mm")</f>
        <v>0</v>
      </c>
      <c r="C168">
        <f>INDEX(SEASON_FACTORS,MOD(A168-1,12)+1)</f>
        <v>0</v>
      </c>
      <c r="D168">
        <f>INT((A168-1)/12)</f>
        <v>0</v>
      </c>
      <c r="E168">
        <f>COUNTIF(THRESH_ABS,"&lt;="&amp;Q167)</f>
        <v>0</v>
      </c>
      <c r="F168">
        <f>(1+STEP)^(C168+D168)</f>
        <v>0</v>
      </c>
      <c r="G168">
        <f>P0_M2 * (1+INF_A)^(A168-1) * (1+PLUS_A)^(A168-1) * E168</f>
        <v>0</v>
      </c>
      <c r="H168">
        <f>F168 / (1+INF_A)^(A168-1)</f>
        <v>0</v>
      </c>
      <c r="I168">
        <f>F168 / PREF</f>
        <v>0</v>
      </c>
      <c r="J168">
        <f>H168 ^ EPS</f>
        <v>0</v>
      </c>
      <c r="K168">
        <f>THETA * B168 * I168</f>
        <v>0</v>
      </c>
      <c r="L168">
        <f>MIN(M167, J168 * CITY_A)</f>
        <v>0</v>
      </c>
      <c r="M168">
        <f>K168 * SIZE_M2</f>
        <v>0</v>
      </c>
      <c r="N168">
        <f>M167 - K168</f>
        <v>0</v>
      </c>
      <c r="O168">
        <f>SIZE_M2 * F168</f>
        <v>0</v>
      </c>
      <c r="P168">
        <f>L168 * F168</f>
        <v>0</v>
      </c>
      <c r="Q168">
        <f>O168 / (1+INF_A)^(A168-1)</f>
        <v>0</v>
      </c>
      <c r="R168">
        <f>Q167 + K168</f>
        <v>0</v>
      </c>
      <c r="S168">
        <f>INT((A168-1)/12)+1</f>
        <v>0</v>
      </c>
    </row>
    <row r="169" spans="1:19">
      <c r="A169">
        <v>168</v>
      </c>
      <c r="B169">
        <f>TEXT(DATEVALUE(START&amp;"-01")+ (ROW()-2),"yyyy-mm")</f>
        <v>0</v>
      </c>
      <c r="C169">
        <f>INDEX(SEASON_FACTORS,MOD(A169-1,12)+1)</f>
        <v>0</v>
      </c>
      <c r="D169">
        <f>INT((A169-1)/12)</f>
        <v>0</v>
      </c>
      <c r="E169">
        <f>COUNTIF(THRESH_ABS,"&lt;="&amp;Q168)</f>
        <v>0</v>
      </c>
      <c r="F169">
        <f>(1+STEP)^(C169+D169)</f>
        <v>0</v>
      </c>
      <c r="G169">
        <f>P0_M2 * (1+INF_A)^(A169-1) * (1+PLUS_A)^(A169-1) * E169</f>
        <v>0</v>
      </c>
      <c r="H169">
        <f>F169 / (1+INF_A)^(A169-1)</f>
        <v>0</v>
      </c>
      <c r="I169">
        <f>F169 / PREF</f>
        <v>0</v>
      </c>
      <c r="J169">
        <f>H169 ^ EPS</f>
        <v>0</v>
      </c>
      <c r="K169">
        <f>THETA * B169 * I169</f>
        <v>0</v>
      </c>
      <c r="L169">
        <f>MIN(M168, J169 * CITY_A)</f>
        <v>0</v>
      </c>
      <c r="M169">
        <f>K169 * SIZE_M2</f>
        <v>0</v>
      </c>
      <c r="N169">
        <f>M168 - K169</f>
        <v>0</v>
      </c>
      <c r="O169">
        <f>SIZE_M2 * F169</f>
        <v>0</v>
      </c>
      <c r="P169">
        <f>L169 * F169</f>
        <v>0</v>
      </c>
      <c r="Q169">
        <f>O169 / (1+INF_A)^(A169-1)</f>
        <v>0</v>
      </c>
      <c r="R169">
        <f>Q168 + K169</f>
        <v>0</v>
      </c>
      <c r="S169">
        <f>INT((A169-1)/12)+1</f>
        <v>0</v>
      </c>
    </row>
    <row r="170" spans="1:19">
      <c r="A170">
        <v>169</v>
      </c>
      <c r="B170">
        <f>TEXT(DATEVALUE(START&amp;"-01")+ (ROW()-2),"yyyy-mm")</f>
        <v>0</v>
      </c>
      <c r="C170">
        <f>INDEX(SEASON_FACTORS,MOD(A170-1,12)+1)</f>
        <v>0</v>
      </c>
      <c r="D170">
        <f>INT((A170-1)/12)</f>
        <v>0</v>
      </c>
      <c r="E170">
        <f>COUNTIF(THRESH_ABS,"&lt;="&amp;Q169)</f>
        <v>0</v>
      </c>
      <c r="F170">
        <f>(1+STEP)^(C170+D170)</f>
        <v>0</v>
      </c>
      <c r="G170">
        <f>P0_M2 * (1+INF_A)^(A170-1) * (1+PLUS_A)^(A170-1) * E170</f>
        <v>0</v>
      </c>
      <c r="H170">
        <f>F170 / (1+INF_A)^(A170-1)</f>
        <v>0</v>
      </c>
      <c r="I170">
        <f>F170 / PREF</f>
        <v>0</v>
      </c>
      <c r="J170">
        <f>H170 ^ EPS</f>
        <v>0</v>
      </c>
      <c r="K170">
        <f>THETA * B170 * I170</f>
        <v>0</v>
      </c>
      <c r="L170">
        <f>MIN(M169, J170 * CITY_A)</f>
        <v>0</v>
      </c>
      <c r="M170">
        <f>K170 * SIZE_M2</f>
        <v>0</v>
      </c>
      <c r="N170">
        <f>M169 - K170</f>
        <v>0</v>
      </c>
      <c r="O170">
        <f>SIZE_M2 * F170</f>
        <v>0</v>
      </c>
      <c r="P170">
        <f>L170 * F170</f>
        <v>0</v>
      </c>
      <c r="Q170">
        <f>O170 / (1+INF_A)^(A170-1)</f>
        <v>0</v>
      </c>
      <c r="R170">
        <f>Q169 + K170</f>
        <v>0</v>
      </c>
      <c r="S170">
        <f>INT((A170-1)/12)+1</f>
        <v>0</v>
      </c>
    </row>
    <row r="171" spans="1:19">
      <c r="A171">
        <v>170</v>
      </c>
      <c r="B171">
        <f>TEXT(DATEVALUE(START&amp;"-01")+ (ROW()-2),"yyyy-mm")</f>
        <v>0</v>
      </c>
      <c r="C171">
        <f>INDEX(SEASON_FACTORS,MOD(A171-1,12)+1)</f>
        <v>0</v>
      </c>
      <c r="D171">
        <f>INT((A171-1)/12)</f>
        <v>0</v>
      </c>
      <c r="E171">
        <f>COUNTIF(THRESH_ABS,"&lt;="&amp;Q170)</f>
        <v>0</v>
      </c>
      <c r="F171">
        <f>(1+STEP)^(C171+D171)</f>
        <v>0</v>
      </c>
      <c r="G171">
        <f>P0_M2 * (1+INF_A)^(A171-1) * (1+PLUS_A)^(A171-1) * E171</f>
        <v>0</v>
      </c>
      <c r="H171">
        <f>F171 / (1+INF_A)^(A171-1)</f>
        <v>0</v>
      </c>
      <c r="I171">
        <f>F171 / PREF</f>
        <v>0</v>
      </c>
      <c r="J171">
        <f>H171 ^ EPS</f>
        <v>0</v>
      </c>
      <c r="K171">
        <f>THETA * B171 * I171</f>
        <v>0</v>
      </c>
      <c r="L171">
        <f>MIN(M170, J171 * CITY_A)</f>
        <v>0</v>
      </c>
      <c r="M171">
        <f>K171 * SIZE_M2</f>
        <v>0</v>
      </c>
      <c r="N171">
        <f>M170 - K171</f>
        <v>0</v>
      </c>
      <c r="O171">
        <f>SIZE_M2 * F171</f>
        <v>0</v>
      </c>
      <c r="P171">
        <f>L171 * F171</f>
        <v>0</v>
      </c>
      <c r="Q171">
        <f>O171 / (1+INF_A)^(A171-1)</f>
        <v>0</v>
      </c>
      <c r="R171">
        <f>Q170 + K171</f>
        <v>0</v>
      </c>
      <c r="S171">
        <f>INT((A171-1)/12)+1</f>
        <v>0</v>
      </c>
    </row>
    <row r="172" spans="1:19">
      <c r="A172">
        <v>171</v>
      </c>
      <c r="B172">
        <f>TEXT(DATEVALUE(START&amp;"-01")+ (ROW()-2),"yyyy-mm")</f>
        <v>0</v>
      </c>
      <c r="C172">
        <f>INDEX(SEASON_FACTORS,MOD(A172-1,12)+1)</f>
        <v>0</v>
      </c>
      <c r="D172">
        <f>INT((A172-1)/12)</f>
        <v>0</v>
      </c>
      <c r="E172">
        <f>COUNTIF(THRESH_ABS,"&lt;="&amp;Q171)</f>
        <v>0</v>
      </c>
      <c r="F172">
        <f>(1+STEP)^(C172+D172)</f>
        <v>0</v>
      </c>
      <c r="G172">
        <f>P0_M2 * (1+INF_A)^(A172-1) * (1+PLUS_A)^(A172-1) * E172</f>
        <v>0</v>
      </c>
      <c r="H172">
        <f>F172 / (1+INF_A)^(A172-1)</f>
        <v>0</v>
      </c>
      <c r="I172">
        <f>F172 / PREF</f>
        <v>0</v>
      </c>
      <c r="J172">
        <f>H172 ^ EPS</f>
        <v>0</v>
      </c>
      <c r="K172">
        <f>THETA * B172 * I172</f>
        <v>0</v>
      </c>
      <c r="L172">
        <f>MIN(M171, J172 * CITY_A)</f>
        <v>0</v>
      </c>
      <c r="M172">
        <f>K172 * SIZE_M2</f>
        <v>0</v>
      </c>
      <c r="N172">
        <f>M171 - K172</f>
        <v>0</v>
      </c>
      <c r="O172">
        <f>SIZE_M2 * F172</f>
        <v>0</v>
      </c>
      <c r="P172">
        <f>L172 * F172</f>
        <v>0</v>
      </c>
      <c r="Q172">
        <f>O172 / (1+INF_A)^(A172-1)</f>
        <v>0</v>
      </c>
      <c r="R172">
        <f>Q171 + K172</f>
        <v>0</v>
      </c>
      <c r="S172">
        <f>INT((A172-1)/12)+1</f>
        <v>0</v>
      </c>
    </row>
    <row r="173" spans="1:19">
      <c r="A173">
        <v>172</v>
      </c>
      <c r="B173">
        <f>TEXT(DATEVALUE(START&amp;"-01")+ (ROW()-2),"yyyy-mm")</f>
        <v>0</v>
      </c>
      <c r="C173">
        <f>INDEX(SEASON_FACTORS,MOD(A173-1,12)+1)</f>
        <v>0</v>
      </c>
      <c r="D173">
        <f>INT((A173-1)/12)</f>
        <v>0</v>
      </c>
      <c r="E173">
        <f>COUNTIF(THRESH_ABS,"&lt;="&amp;Q172)</f>
        <v>0</v>
      </c>
      <c r="F173">
        <f>(1+STEP)^(C173+D173)</f>
        <v>0</v>
      </c>
      <c r="G173">
        <f>P0_M2 * (1+INF_A)^(A173-1) * (1+PLUS_A)^(A173-1) * E173</f>
        <v>0</v>
      </c>
      <c r="H173">
        <f>F173 / (1+INF_A)^(A173-1)</f>
        <v>0</v>
      </c>
      <c r="I173">
        <f>F173 / PREF</f>
        <v>0</v>
      </c>
      <c r="J173">
        <f>H173 ^ EPS</f>
        <v>0</v>
      </c>
      <c r="K173">
        <f>THETA * B173 * I173</f>
        <v>0</v>
      </c>
      <c r="L173">
        <f>MIN(M172, J173 * CITY_A)</f>
        <v>0</v>
      </c>
      <c r="M173">
        <f>K173 * SIZE_M2</f>
        <v>0</v>
      </c>
      <c r="N173">
        <f>M172 - K173</f>
        <v>0</v>
      </c>
      <c r="O173">
        <f>SIZE_M2 * F173</f>
        <v>0</v>
      </c>
      <c r="P173">
        <f>L173 * F173</f>
        <v>0</v>
      </c>
      <c r="Q173">
        <f>O173 / (1+INF_A)^(A173-1)</f>
        <v>0</v>
      </c>
      <c r="R173">
        <f>Q172 + K173</f>
        <v>0</v>
      </c>
      <c r="S173">
        <f>INT((A173-1)/12)+1</f>
        <v>0</v>
      </c>
    </row>
    <row r="174" spans="1:19">
      <c r="A174">
        <v>173</v>
      </c>
      <c r="B174">
        <f>TEXT(DATEVALUE(START&amp;"-01")+ (ROW()-2),"yyyy-mm")</f>
        <v>0</v>
      </c>
      <c r="C174">
        <f>INDEX(SEASON_FACTORS,MOD(A174-1,12)+1)</f>
        <v>0</v>
      </c>
      <c r="D174">
        <f>INT((A174-1)/12)</f>
        <v>0</v>
      </c>
      <c r="E174">
        <f>COUNTIF(THRESH_ABS,"&lt;="&amp;Q173)</f>
        <v>0</v>
      </c>
      <c r="F174">
        <f>(1+STEP)^(C174+D174)</f>
        <v>0</v>
      </c>
      <c r="G174">
        <f>P0_M2 * (1+INF_A)^(A174-1) * (1+PLUS_A)^(A174-1) * E174</f>
        <v>0</v>
      </c>
      <c r="H174">
        <f>F174 / (1+INF_A)^(A174-1)</f>
        <v>0</v>
      </c>
      <c r="I174">
        <f>F174 / PREF</f>
        <v>0</v>
      </c>
      <c r="J174">
        <f>H174 ^ EPS</f>
        <v>0</v>
      </c>
      <c r="K174">
        <f>THETA * B174 * I174</f>
        <v>0</v>
      </c>
      <c r="L174">
        <f>MIN(M173, J174 * CITY_A)</f>
        <v>0</v>
      </c>
      <c r="M174">
        <f>K174 * SIZE_M2</f>
        <v>0</v>
      </c>
      <c r="N174">
        <f>M173 - K174</f>
        <v>0</v>
      </c>
      <c r="O174">
        <f>SIZE_M2 * F174</f>
        <v>0</v>
      </c>
      <c r="P174">
        <f>L174 * F174</f>
        <v>0</v>
      </c>
      <c r="Q174">
        <f>O174 / (1+INF_A)^(A174-1)</f>
        <v>0</v>
      </c>
      <c r="R174">
        <f>Q173 + K174</f>
        <v>0</v>
      </c>
      <c r="S174">
        <f>INT((A174-1)/12)+1</f>
        <v>0</v>
      </c>
    </row>
    <row r="175" spans="1:19">
      <c r="A175">
        <v>174</v>
      </c>
      <c r="B175">
        <f>TEXT(DATEVALUE(START&amp;"-01")+ (ROW()-2),"yyyy-mm")</f>
        <v>0</v>
      </c>
      <c r="C175">
        <f>INDEX(SEASON_FACTORS,MOD(A175-1,12)+1)</f>
        <v>0</v>
      </c>
      <c r="D175">
        <f>INT((A175-1)/12)</f>
        <v>0</v>
      </c>
      <c r="E175">
        <f>COUNTIF(THRESH_ABS,"&lt;="&amp;Q174)</f>
        <v>0</v>
      </c>
      <c r="F175">
        <f>(1+STEP)^(C175+D175)</f>
        <v>0</v>
      </c>
      <c r="G175">
        <f>P0_M2 * (1+INF_A)^(A175-1) * (1+PLUS_A)^(A175-1) * E175</f>
        <v>0</v>
      </c>
      <c r="H175">
        <f>F175 / (1+INF_A)^(A175-1)</f>
        <v>0</v>
      </c>
      <c r="I175">
        <f>F175 / PREF</f>
        <v>0</v>
      </c>
      <c r="J175">
        <f>H175 ^ EPS</f>
        <v>0</v>
      </c>
      <c r="K175">
        <f>THETA * B175 * I175</f>
        <v>0</v>
      </c>
      <c r="L175">
        <f>MIN(M174, J175 * CITY_A)</f>
        <v>0</v>
      </c>
      <c r="M175">
        <f>K175 * SIZE_M2</f>
        <v>0</v>
      </c>
      <c r="N175">
        <f>M174 - K175</f>
        <v>0</v>
      </c>
      <c r="O175">
        <f>SIZE_M2 * F175</f>
        <v>0</v>
      </c>
      <c r="P175">
        <f>L175 * F175</f>
        <v>0</v>
      </c>
      <c r="Q175">
        <f>O175 / (1+INF_A)^(A175-1)</f>
        <v>0</v>
      </c>
      <c r="R175">
        <f>Q174 + K175</f>
        <v>0</v>
      </c>
      <c r="S175">
        <f>INT((A175-1)/12)+1</f>
        <v>0</v>
      </c>
    </row>
    <row r="176" spans="1:19">
      <c r="A176">
        <v>175</v>
      </c>
      <c r="B176">
        <f>TEXT(DATEVALUE(START&amp;"-01")+ (ROW()-2),"yyyy-mm")</f>
        <v>0</v>
      </c>
      <c r="C176">
        <f>INDEX(SEASON_FACTORS,MOD(A176-1,12)+1)</f>
        <v>0</v>
      </c>
      <c r="D176">
        <f>INT((A176-1)/12)</f>
        <v>0</v>
      </c>
      <c r="E176">
        <f>COUNTIF(THRESH_ABS,"&lt;="&amp;Q175)</f>
        <v>0</v>
      </c>
      <c r="F176">
        <f>(1+STEP)^(C176+D176)</f>
        <v>0</v>
      </c>
      <c r="G176">
        <f>P0_M2 * (1+INF_A)^(A176-1) * (1+PLUS_A)^(A176-1) * E176</f>
        <v>0</v>
      </c>
      <c r="H176">
        <f>F176 / (1+INF_A)^(A176-1)</f>
        <v>0</v>
      </c>
      <c r="I176">
        <f>F176 / PREF</f>
        <v>0</v>
      </c>
      <c r="J176">
        <f>H176 ^ EPS</f>
        <v>0</v>
      </c>
      <c r="K176">
        <f>THETA * B176 * I176</f>
        <v>0</v>
      </c>
      <c r="L176">
        <f>MIN(M175, J176 * CITY_A)</f>
        <v>0</v>
      </c>
      <c r="M176">
        <f>K176 * SIZE_M2</f>
        <v>0</v>
      </c>
      <c r="N176">
        <f>M175 - K176</f>
        <v>0</v>
      </c>
      <c r="O176">
        <f>SIZE_M2 * F176</f>
        <v>0</v>
      </c>
      <c r="P176">
        <f>L176 * F176</f>
        <v>0</v>
      </c>
      <c r="Q176">
        <f>O176 / (1+INF_A)^(A176-1)</f>
        <v>0</v>
      </c>
      <c r="R176">
        <f>Q175 + K176</f>
        <v>0</v>
      </c>
      <c r="S176">
        <f>INT((A176-1)/12)+1</f>
        <v>0</v>
      </c>
    </row>
    <row r="177" spans="1:19">
      <c r="A177">
        <v>176</v>
      </c>
      <c r="B177">
        <f>TEXT(DATEVALUE(START&amp;"-01")+ (ROW()-2),"yyyy-mm")</f>
        <v>0</v>
      </c>
      <c r="C177">
        <f>INDEX(SEASON_FACTORS,MOD(A177-1,12)+1)</f>
        <v>0</v>
      </c>
      <c r="D177">
        <f>INT((A177-1)/12)</f>
        <v>0</v>
      </c>
      <c r="E177">
        <f>COUNTIF(THRESH_ABS,"&lt;="&amp;Q176)</f>
        <v>0</v>
      </c>
      <c r="F177">
        <f>(1+STEP)^(C177+D177)</f>
        <v>0</v>
      </c>
      <c r="G177">
        <f>P0_M2 * (1+INF_A)^(A177-1) * (1+PLUS_A)^(A177-1) * E177</f>
        <v>0</v>
      </c>
      <c r="H177">
        <f>F177 / (1+INF_A)^(A177-1)</f>
        <v>0</v>
      </c>
      <c r="I177">
        <f>F177 / PREF</f>
        <v>0</v>
      </c>
      <c r="J177">
        <f>H177 ^ EPS</f>
        <v>0</v>
      </c>
      <c r="K177">
        <f>THETA * B177 * I177</f>
        <v>0</v>
      </c>
      <c r="L177">
        <f>MIN(M176, J177 * CITY_A)</f>
        <v>0</v>
      </c>
      <c r="M177">
        <f>K177 * SIZE_M2</f>
        <v>0</v>
      </c>
      <c r="N177">
        <f>M176 - K177</f>
        <v>0</v>
      </c>
      <c r="O177">
        <f>SIZE_M2 * F177</f>
        <v>0</v>
      </c>
      <c r="P177">
        <f>L177 * F177</f>
        <v>0</v>
      </c>
      <c r="Q177">
        <f>O177 / (1+INF_A)^(A177-1)</f>
        <v>0</v>
      </c>
      <c r="R177">
        <f>Q176 + K177</f>
        <v>0</v>
      </c>
      <c r="S177">
        <f>INT((A177-1)/12)+1</f>
        <v>0</v>
      </c>
    </row>
    <row r="178" spans="1:19">
      <c r="A178">
        <v>177</v>
      </c>
      <c r="B178">
        <f>TEXT(DATEVALUE(START&amp;"-01")+ (ROW()-2),"yyyy-mm")</f>
        <v>0</v>
      </c>
      <c r="C178">
        <f>INDEX(SEASON_FACTORS,MOD(A178-1,12)+1)</f>
        <v>0</v>
      </c>
      <c r="D178">
        <f>INT((A178-1)/12)</f>
        <v>0</v>
      </c>
      <c r="E178">
        <f>COUNTIF(THRESH_ABS,"&lt;="&amp;Q177)</f>
        <v>0</v>
      </c>
      <c r="F178">
        <f>(1+STEP)^(C178+D178)</f>
        <v>0</v>
      </c>
      <c r="G178">
        <f>P0_M2 * (1+INF_A)^(A178-1) * (1+PLUS_A)^(A178-1) * E178</f>
        <v>0</v>
      </c>
      <c r="H178">
        <f>F178 / (1+INF_A)^(A178-1)</f>
        <v>0</v>
      </c>
      <c r="I178">
        <f>F178 / PREF</f>
        <v>0</v>
      </c>
      <c r="J178">
        <f>H178 ^ EPS</f>
        <v>0</v>
      </c>
      <c r="K178">
        <f>THETA * B178 * I178</f>
        <v>0</v>
      </c>
      <c r="L178">
        <f>MIN(M177, J178 * CITY_A)</f>
        <v>0</v>
      </c>
      <c r="M178">
        <f>K178 * SIZE_M2</f>
        <v>0</v>
      </c>
      <c r="N178">
        <f>M177 - K178</f>
        <v>0</v>
      </c>
      <c r="O178">
        <f>SIZE_M2 * F178</f>
        <v>0</v>
      </c>
      <c r="P178">
        <f>L178 * F178</f>
        <v>0</v>
      </c>
      <c r="Q178">
        <f>O178 / (1+INF_A)^(A178-1)</f>
        <v>0</v>
      </c>
      <c r="R178">
        <f>Q177 + K178</f>
        <v>0</v>
      </c>
      <c r="S178">
        <f>INT((A178-1)/12)+1</f>
        <v>0</v>
      </c>
    </row>
    <row r="179" spans="1:19">
      <c r="A179">
        <v>178</v>
      </c>
      <c r="B179">
        <f>TEXT(DATEVALUE(START&amp;"-01")+ (ROW()-2),"yyyy-mm")</f>
        <v>0</v>
      </c>
      <c r="C179">
        <f>INDEX(SEASON_FACTORS,MOD(A179-1,12)+1)</f>
        <v>0</v>
      </c>
      <c r="D179">
        <f>INT((A179-1)/12)</f>
        <v>0</v>
      </c>
      <c r="E179">
        <f>COUNTIF(THRESH_ABS,"&lt;="&amp;Q178)</f>
        <v>0</v>
      </c>
      <c r="F179">
        <f>(1+STEP)^(C179+D179)</f>
        <v>0</v>
      </c>
      <c r="G179">
        <f>P0_M2 * (1+INF_A)^(A179-1) * (1+PLUS_A)^(A179-1) * E179</f>
        <v>0</v>
      </c>
      <c r="H179">
        <f>F179 / (1+INF_A)^(A179-1)</f>
        <v>0</v>
      </c>
      <c r="I179">
        <f>F179 / PREF</f>
        <v>0</v>
      </c>
      <c r="J179">
        <f>H179 ^ EPS</f>
        <v>0</v>
      </c>
      <c r="K179">
        <f>THETA * B179 * I179</f>
        <v>0</v>
      </c>
      <c r="L179">
        <f>MIN(M178, J179 * CITY_A)</f>
        <v>0</v>
      </c>
      <c r="M179">
        <f>K179 * SIZE_M2</f>
        <v>0</v>
      </c>
      <c r="N179">
        <f>M178 - K179</f>
        <v>0</v>
      </c>
      <c r="O179">
        <f>SIZE_M2 * F179</f>
        <v>0</v>
      </c>
      <c r="P179">
        <f>L179 * F179</f>
        <v>0</v>
      </c>
      <c r="Q179">
        <f>O179 / (1+INF_A)^(A179-1)</f>
        <v>0</v>
      </c>
      <c r="R179">
        <f>Q178 + K179</f>
        <v>0</v>
      </c>
      <c r="S179">
        <f>INT((A179-1)/12)+1</f>
        <v>0</v>
      </c>
    </row>
    <row r="180" spans="1:19">
      <c r="A180">
        <v>179</v>
      </c>
      <c r="B180">
        <f>TEXT(DATEVALUE(START&amp;"-01")+ (ROW()-2),"yyyy-mm")</f>
        <v>0</v>
      </c>
      <c r="C180">
        <f>INDEX(SEASON_FACTORS,MOD(A180-1,12)+1)</f>
        <v>0</v>
      </c>
      <c r="D180">
        <f>INT((A180-1)/12)</f>
        <v>0</v>
      </c>
      <c r="E180">
        <f>COUNTIF(THRESH_ABS,"&lt;="&amp;Q179)</f>
        <v>0</v>
      </c>
      <c r="F180">
        <f>(1+STEP)^(C180+D180)</f>
        <v>0</v>
      </c>
      <c r="G180">
        <f>P0_M2 * (1+INF_A)^(A180-1) * (1+PLUS_A)^(A180-1) * E180</f>
        <v>0</v>
      </c>
      <c r="H180">
        <f>F180 / (1+INF_A)^(A180-1)</f>
        <v>0</v>
      </c>
      <c r="I180">
        <f>F180 / PREF</f>
        <v>0</v>
      </c>
      <c r="J180">
        <f>H180 ^ EPS</f>
        <v>0</v>
      </c>
      <c r="K180">
        <f>THETA * B180 * I180</f>
        <v>0</v>
      </c>
      <c r="L180">
        <f>MIN(M179, J180 * CITY_A)</f>
        <v>0</v>
      </c>
      <c r="M180">
        <f>K180 * SIZE_M2</f>
        <v>0</v>
      </c>
      <c r="N180">
        <f>M179 - K180</f>
        <v>0</v>
      </c>
      <c r="O180">
        <f>SIZE_M2 * F180</f>
        <v>0</v>
      </c>
      <c r="P180">
        <f>L180 * F180</f>
        <v>0</v>
      </c>
      <c r="Q180">
        <f>O180 / (1+INF_A)^(A180-1)</f>
        <v>0</v>
      </c>
      <c r="R180">
        <f>Q179 + K180</f>
        <v>0</v>
      </c>
      <c r="S180">
        <f>INT((A180-1)/12)+1</f>
        <v>0</v>
      </c>
    </row>
    <row r="181" spans="1:19">
      <c r="A181">
        <v>180</v>
      </c>
      <c r="B181">
        <f>TEXT(DATEVALUE(START&amp;"-01")+ (ROW()-2),"yyyy-mm")</f>
        <v>0</v>
      </c>
      <c r="C181">
        <f>INDEX(SEASON_FACTORS,MOD(A181-1,12)+1)</f>
        <v>0</v>
      </c>
      <c r="D181">
        <f>INT((A181-1)/12)</f>
        <v>0</v>
      </c>
      <c r="E181">
        <f>COUNTIF(THRESH_ABS,"&lt;="&amp;Q180)</f>
        <v>0</v>
      </c>
      <c r="F181">
        <f>(1+STEP)^(C181+D181)</f>
        <v>0</v>
      </c>
      <c r="G181">
        <f>P0_M2 * (1+INF_A)^(A181-1) * (1+PLUS_A)^(A181-1) * E181</f>
        <v>0</v>
      </c>
      <c r="H181">
        <f>F181 / (1+INF_A)^(A181-1)</f>
        <v>0</v>
      </c>
      <c r="I181">
        <f>F181 / PREF</f>
        <v>0</v>
      </c>
      <c r="J181">
        <f>H181 ^ EPS</f>
        <v>0</v>
      </c>
      <c r="K181">
        <f>THETA * B181 * I181</f>
        <v>0</v>
      </c>
      <c r="L181">
        <f>MIN(M180, J181 * CITY_A)</f>
        <v>0</v>
      </c>
      <c r="M181">
        <f>K181 * SIZE_M2</f>
        <v>0</v>
      </c>
      <c r="N181">
        <f>M180 - K181</f>
        <v>0</v>
      </c>
      <c r="O181">
        <f>SIZE_M2 * F181</f>
        <v>0</v>
      </c>
      <c r="P181">
        <f>L181 * F181</f>
        <v>0</v>
      </c>
      <c r="Q181">
        <f>O181 / (1+INF_A)^(A181-1)</f>
        <v>0</v>
      </c>
      <c r="R181">
        <f>Q180 + K181</f>
        <v>0</v>
      </c>
      <c r="S181">
        <f>INT((A181-1)/12)+1</f>
        <v>0</v>
      </c>
    </row>
    <row r="182" spans="1:19">
      <c r="A182">
        <v>181</v>
      </c>
      <c r="B182">
        <f>TEXT(DATEVALUE(START&amp;"-01")+ (ROW()-2),"yyyy-mm")</f>
        <v>0</v>
      </c>
      <c r="C182">
        <f>INDEX(SEASON_FACTORS,MOD(A182-1,12)+1)</f>
        <v>0</v>
      </c>
      <c r="D182">
        <f>INT((A182-1)/12)</f>
        <v>0</v>
      </c>
      <c r="E182">
        <f>COUNTIF(THRESH_ABS,"&lt;="&amp;Q181)</f>
        <v>0</v>
      </c>
      <c r="F182">
        <f>(1+STEP)^(C182+D182)</f>
        <v>0</v>
      </c>
      <c r="G182">
        <f>P0_M2 * (1+INF_A)^(A182-1) * (1+PLUS_A)^(A182-1) * E182</f>
        <v>0</v>
      </c>
      <c r="H182">
        <f>F182 / (1+INF_A)^(A182-1)</f>
        <v>0</v>
      </c>
      <c r="I182">
        <f>F182 / PREF</f>
        <v>0</v>
      </c>
      <c r="J182">
        <f>H182 ^ EPS</f>
        <v>0</v>
      </c>
      <c r="K182">
        <f>THETA * B182 * I182</f>
        <v>0</v>
      </c>
      <c r="L182">
        <f>MIN(M181, J182 * CITY_A)</f>
        <v>0</v>
      </c>
      <c r="M182">
        <f>K182 * SIZE_M2</f>
        <v>0</v>
      </c>
      <c r="N182">
        <f>M181 - K182</f>
        <v>0</v>
      </c>
      <c r="O182">
        <f>SIZE_M2 * F182</f>
        <v>0</v>
      </c>
      <c r="P182">
        <f>L182 * F182</f>
        <v>0</v>
      </c>
      <c r="Q182">
        <f>O182 / (1+INF_A)^(A182-1)</f>
        <v>0</v>
      </c>
      <c r="R182">
        <f>Q181 + K182</f>
        <v>0</v>
      </c>
      <c r="S182">
        <f>INT((A182-1)/12)+1</f>
        <v>0</v>
      </c>
    </row>
    <row r="183" spans="1:19">
      <c r="A183">
        <v>182</v>
      </c>
      <c r="B183">
        <f>TEXT(DATEVALUE(START&amp;"-01")+ (ROW()-2),"yyyy-mm")</f>
        <v>0</v>
      </c>
      <c r="C183">
        <f>INDEX(SEASON_FACTORS,MOD(A183-1,12)+1)</f>
        <v>0</v>
      </c>
      <c r="D183">
        <f>INT((A183-1)/12)</f>
        <v>0</v>
      </c>
      <c r="E183">
        <f>COUNTIF(THRESH_ABS,"&lt;="&amp;Q182)</f>
        <v>0</v>
      </c>
      <c r="F183">
        <f>(1+STEP)^(C183+D183)</f>
        <v>0</v>
      </c>
      <c r="G183">
        <f>P0_M2 * (1+INF_A)^(A183-1) * (1+PLUS_A)^(A183-1) * E183</f>
        <v>0</v>
      </c>
      <c r="H183">
        <f>F183 / (1+INF_A)^(A183-1)</f>
        <v>0</v>
      </c>
      <c r="I183">
        <f>F183 / PREF</f>
        <v>0</v>
      </c>
      <c r="J183">
        <f>H183 ^ EPS</f>
        <v>0</v>
      </c>
      <c r="K183">
        <f>THETA * B183 * I183</f>
        <v>0</v>
      </c>
      <c r="L183">
        <f>MIN(M182, J183 * CITY_A)</f>
        <v>0</v>
      </c>
      <c r="M183">
        <f>K183 * SIZE_M2</f>
        <v>0</v>
      </c>
      <c r="N183">
        <f>M182 - K183</f>
        <v>0</v>
      </c>
      <c r="O183">
        <f>SIZE_M2 * F183</f>
        <v>0</v>
      </c>
      <c r="P183">
        <f>L183 * F183</f>
        <v>0</v>
      </c>
      <c r="Q183">
        <f>O183 / (1+INF_A)^(A183-1)</f>
        <v>0</v>
      </c>
      <c r="R183">
        <f>Q182 + K183</f>
        <v>0</v>
      </c>
      <c r="S183">
        <f>INT((A183-1)/12)+1</f>
        <v>0</v>
      </c>
    </row>
    <row r="184" spans="1:19">
      <c r="A184">
        <v>183</v>
      </c>
      <c r="B184">
        <f>TEXT(DATEVALUE(START&amp;"-01")+ (ROW()-2),"yyyy-mm")</f>
        <v>0</v>
      </c>
      <c r="C184">
        <f>INDEX(SEASON_FACTORS,MOD(A184-1,12)+1)</f>
        <v>0</v>
      </c>
      <c r="D184">
        <f>INT((A184-1)/12)</f>
        <v>0</v>
      </c>
      <c r="E184">
        <f>COUNTIF(THRESH_ABS,"&lt;="&amp;Q183)</f>
        <v>0</v>
      </c>
      <c r="F184">
        <f>(1+STEP)^(C184+D184)</f>
        <v>0</v>
      </c>
      <c r="G184">
        <f>P0_M2 * (1+INF_A)^(A184-1) * (1+PLUS_A)^(A184-1) * E184</f>
        <v>0</v>
      </c>
      <c r="H184">
        <f>F184 / (1+INF_A)^(A184-1)</f>
        <v>0</v>
      </c>
      <c r="I184">
        <f>F184 / PREF</f>
        <v>0</v>
      </c>
      <c r="J184">
        <f>H184 ^ EPS</f>
        <v>0</v>
      </c>
      <c r="K184">
        <f>THETA * B184 * I184</f>
        <v>0</v>
      </c>
      <c r="L184">
        <f>MIN(M183, J184 * CITY_A)</f>
        <v>0</v>
      </c>
      <c r="M184">
        <f>K184 * SIZE_M2</f>
        <v>0</v>
      </c>
      <c r="N184">
        <f>M183 - K184</f>
        <v>0</v>
      </c>
      <c r="O184">
        <f>SIZE_M2 * F184</f>
        <v>0</v>
      </c>
      <c r="P184">
        <f>L184 * F184</f>
        <v>0</v>
      </c>
      <c r="Q184">
        <f>O184 / (1+INF_A)^(A184-1)</f>
        <v>0</v>
      </c>
      <c r="R184">
        <f>Q183 + K184</f>
        <v>0</v>
      </c>
      <c r="S184">
        <f>INT((A184-1)/12)+1</f>
        <v>0</v>
      </c>
    </row>
    <row r="185" spans="1:19">
      <c r="A185">
        <v>184</v>
      </c>
      <c r="B185">
        <f>TEXT(DATEVALUE(START&amp;"-01")+ (ROW()-2),"yyyy-mm")</f>
        <v>0</v>
      </c>
      <c r="C185">
        <f>INDEX(SEASON_FACTORS,MOD(A185-1,12)+1)</f>
        <v>0</v>
      </c>
      <c r="D185">
        <f>INT((A185-1)/12)</f>
        <v>0</v>
      </c>
      <c r="E185">
        <f>COUNTIF(THRESH_ABS,"&lt;="&amp;Q184)</f>
        <v>0</v>
      </c>
      <c r="F185">
        <f>(1+STEP)^(C185+D185)</f>
        <v>0</v>
      </c>
      <c r="G185">
        <f>P0_M2 * (1+INF_A)^(A185-1) * (1+PLUS_A)^(A185-1) * E185</f>
        <v>0</v>
      </c>
      <c r="H185">
        <f>F185 / (1+INF_A)^(A185-1)</f>
        <v>0</v>
      </c>
      <c r="I185">
        <f>F185 / PREF</f>
        <v>0</v>
      </c>
      <c r="J185">
        <f>H185 ^ EPS</f>
        <v>0</v>
      </c>
      <c r="K185">
        <f>THETA * B185 * I185</f>
        <v>0</v>
      </c>
      <c r="L185">
        <f>MIN(M184, J185 * CITY_A)</f>
        <v>0</v>
      </c>
      <c r="M185">
        <f>K185 * SIZE_M2</f>
        <v>0</v>
      </c>
      <c r="N185">
        <f>M184 - K185</f>
        <v>0</v>
      </c>
      <c r="O185">
        <f>SIZE_M2 * F185</f>
        <v>0</v>
      </c>
      <c r="P185">
        <f>L185 * F185</f>
        <v>0</v>
      </c>
      <c r="Q185">
        <f>O185 / (1+INF_A)^(A185-1)</f>
        <v>0</v>
      </c>
      <c r="R185">
        <f>Q184 + K185</f>
        <v>0</v>
      </c>
      <c r="S185">
        <f>INT((A185-1)/12)+1</f>
        <v>0</v>
      </c>
    </row>
    <row r="186" spans="1:19">
      <c r="A186">
        <v>185</v>
      </c>
      <c r="B186">
        <f>TEXT(DATEVALUE(START&amp;"-01")+ (ROW()-2),"yyyy-mm")</f>
        <v>0</v>
      </c>
      <c r="C186">
        <f>INDEX(SEASON_FACTORS,MOD(A186-1,12)+1)</f>
        <v>0</v>
      </c>
      <c r="D186">
        <f>INT((A186-1)/12)</f>
        <v>0</v>
      </c>
      <c r="E186">
        <f>COUNTIF(THRESH_ABS,"&lt;="&amp;Q185)</f>
        <v>0</v>
      </c>
      <c r="F186">
        <f>(1+STEP)^(C186+D186)</f>
        <v>0</v>
      </c>
      <c r="G186">
        <f>P0_M2 * (1+INF_A)^(A186-1) * (1+PLUS_A)^(A186-1) * E186</f>
        <v>0</v>
      </c>
      <c r="H186">
        <f>F186 / (1+INF_A)^(A186-1)</f>
        <v>0</v>
      </c>
      <c r="I186">
        <f>F186 / PREF</f>
        <v>0</v>
      </c>
      <c r="J186">
        <f>H186 ^ EPS</f>
        <v>0</v>
      </c>
      <c r="K186">
        <f>THETA * B186 * I186</f>
        <v>0</v>
      </c>
      <c r="L186">
        <f>MIN(M185, J186 * CITY_A)</f>
        <v>0</v>
      </c>
      <c r="M186">
        <f>K186 * SIZE_M2</f>
        <v>0</v>
      </c>
      <c r="N186">
        <f>M185 - K186</f>
        <v>0</v>
      </c>
      <c r="O186">
        <f>SIZE_M2 * F186</f>
        <v>0</v>
      </c>
      <c r="P186">
        <f>L186 * F186</f>
        <v>0</v>
      </c>
      <c r="Q186">
        <f>O186 / (1+INF_A)^(A186-1)</f>
        <v>0</v>
      </c>
      <c r="R186">
        <f>Q185 + K186</f>
        <v>0</v>
      </c>
      <c r="S186">
        <f>INT((A186-1)/12)+1</f>
        <v>0</v>
      </c>
    </row>
    <row r="187" spans="1:19">
      <c r="A187">
        <v>186</v>
      </c>
      <c r="B187">
        <f>TEXT(DATEVALUE(START&amp;"-01")+ (ROW()-2),"yyyy-mm")</f>
        <v>0</v>
      </c>
      <c r="C187">
        <f>INDEX(SEASON_FACTORS,MOD(A187-1,12)+1)</f>
        <v>0</v>
      </c>
      <c r="D187">
        <f>INT((A187-1)/12)</f>
        <v>0</v>
      </c>
      <c r="E187">
        <f>COUNTIF(THRESH_ABS,"&lt;="&amp;Q186)</f>
        <v>0</v>
      </c>
      <c r="F187">
        <f>(1+STEP)^(C187+D187)</f>
        <v>0</v>
      </c>
      <c r="G187">
        <f>P0_M2 * (1+INF_A)^(A187-1) * (1+PLUS_A)^(A187-1) * E187</f>
        <v>0</v>
      </c>
      <c r="H187">
        <f>F187 / (1+INF_A)^(A187-1)</f>
        <v>0</v>
      </c>
      <c r="I187">
        <f>F187 / PREF</f>
        <v>0</v>
      </c>
      <c r="J187">
        <f>H187 ^ EPS</f>
        <v>0</v>
      </c>
      <c r="K187">
        <f>THETA * B187 * I187</f>
        <v>0</v>
      </c>
      <c r="L187">
        <f>MIN(M186, J187 * CITY_A)</f>
        <v>0</v>
      </c>
      <c r="M187">
        <f>K187 * SIZE_M2</f>
        <v>0</v>
      </c>
      <c r="N187">
        <f>M186 - K187</f>
        <v>0</v>
      </c>
      <c r="O187">
        <f>SIZE_M2 * F187</f>
        <v>0</v>
      </c>
      <c r="P187">
        <f>L187 * F187</f>
        <v>0</v>
      </c>
      <c r="Q187">
        <f>O187 / (1+INF_A)^(A187-1)</f>
        <v>0</v>
      </c>
      <c r="R187">
        <f>Q186 + K187</f>
        <v>0</v>
      </c>
      <c r="S187">
        <f>INT((A187-1)/12)+1</f>
        <v>0</v>
      </c>
    </row>
    <row r="188" spans="1:19">
      <c r="A188">
        <v>187</v>
      </c>
      <c r="B188">
        <f>TEXT(DATEVALUE(START&amp;"-01")+ (ROW()-2),"yyyy-mm")</f>
        <v>0</v>
      </c>
      <c r="C188">
        <f>INDEX(SEASON_FACTORS,MOD(A188-1,12)+1)</f>
        <v>0</v>
      </c>
      <c r="D188">
        <f>INT((A188-1)/12)</f>
        <v>0</v>
      </c>
      <c r="E188">
        <f>COUNTIF(THRESH_ABS,"&lt;="&amp;Q187)</f>
        <v>0</v>
      </c>
      <c r="F188">
        <f>(1+STEP)^(C188+D188)</f>
        <v>0</v>
      </c>
      <c r="G188">
        <f>P0_M2 * (1+INF_A)^(A188-1) * (1+PLUS_A)^(A188-1) * E188</f>
        <v>0</v>
      </c>
      <c r="H188">
        <f>F188 / (1+INF_A)^(A188-1)</f>
        <v>0</v>
      </c>
      <c r="I188">
        <f>F188 / PREF</f>
        <v>0</v>
      </c>
      <c r="J188">
        <f>H188 ^ EPS</f>
        <v>0</v>
      </c>
      <c r="K188">
        <f>THETA * B188 * I188</f>
        <v>0</v>
      </c>
      <c r="L188">
        <f>MIN(M187, J188 * CITY_A)</f>
        <v>0</v>
      </c>
      <c r="M188">
        <f>K188 * SIZE_M2</f>
        <v>0</v>
      </c>
      <c r="N188">
        <f>M187 - K188</f>
        <v>0</v>
      </c>
      <c r="O188">
        <f>SIZE_M2 * F188</f>
        <v>0</v>
      </c>
      <c r="P188">
        <f>L188 * F188</f>
        <v>0</v>
      </c>
      <c r="Q188">
        <f>O188 / (1+INF_A)^(A188-1)</f>
        <v>0</v>
      </c>
      <c r="R188">
        <f>Q187 + K188</f>
        <v>0</v>
      </c>
      <c r="S188">
        <f>INT((A188-1)/12)+1</f>
        <v>0</v>
      </c>
    </row>
    <row r="189" spans="1:19">
      <c r="A189">
        <v>188</v>
      </c>
      <c r="B189">
        <f>TEXT(DATEVALUE(START&amp;"-01")+ (ROW()-2),"yyyy-mm")</f>
        <v>0</v>
      </c>
      <c r="C189">
        <f>INDEX(SEASON_FACTORS,MOD(A189-1,12)+1)</f>
        <v>0</v>
      </c>
      <c r="D189">
        <f>INT((A189-1)/12)</f>
        <v>0</v>
      </c>
      <c r="E189">
        <f>COUNTIF(THRESH_ABS,"&lt;="&amp;Q188)</f>
        <v>0</v>
      </c>
      <c r="F189">
        <f>(1+STEP)^(C189+D189)</f>
        <v>0</v>
      </c>
      <c r="G189">
        <f>P0_M2 * (1+INF_A)^(A189-1) * (1+PLUS_A)^(A189-1) * E189</f>
        <v>0</v>
      </c>
      <c r="H189">
        <f>F189 / (1+INF_A)^(A189-1)</f>
        <v>0</v>
      </c>
      <c r="I189">
        <f>F189 / PREF</f>
        <v>0</v>
      </c>
      <c r="J189">
        <f>H189 ^ EPS</f>
        <v>0</v>
      </c>
      <c r="K189">
        <f>THETA * B189 * I189</f>
        <v>0</v>
      </c>
      <c r="L189">
        <f>MIN(M188, J189 * CITY_A)</f>
        <v>0</v>
      </c>
      <c r="M189">
        <f>K189 * SIZE_M2</f>
        <v>0</v>
      </c>
      <c r="N189">
        <f>M188 - K189</f>
        <v>0</v>
      </c>
      <c r="O189">
        <f>SIZE_M2 * F189</f>
        <v>0</v>
      </c>
      <c r="P189">
        <f>L189 * F189</f>
        <v>0</v>
      </c>
      <c r="Q189">
        <f>O189 / (1+INF_A)^(A189-1)</f>
        <v>0</v>
      </c>
      <c r="R189">
        <f>Q188 + K189</f>
        <v>0</v>
      </c>
      <c r="S189">
        <f>INT((A189-1)/12)+1</f>
        <v>0</v>
      </c>
    </row>
    <row r="190" spans="1:19">
      <c r="A190">
        <v>189</v>
      </c>
      <c r="B190">
        <f>TEXT(DATEVALUE(START&amp;"-01")+ (ROW()-2),"yyyy-mm")</f>
        <v>0</v>
      </c>
      <c r="C190">
        <f>INDEX(SEASON_FACTORS,MOD(A190-1,12)+1)</f>
        <v>0</v>
      </c>
      <c r="D190">
        <f>INT((A190-1)/12)</f>
        <v>0</v>
      </c>
      <c r="E190">
        <f>COUNTIF(THRESH_ABS,"&lt;="&amp;Q189)</f>
        <v>0</v>
      </c>
      <c r="F190">
        <f>(1+STEP)^(C190+D190)</f>
        <v>0</v>
      </c>
      <c r="G190">
        <f>P0_M2 * (1+INF_A)^(A190-1) * (1+PLUS_A)^(A190-1) * E190</f>
        <v>0</v>
      </c>
      <c r="H190">
        <f>F190 / (1+INF_A)^(A190-1)</f>
        <v>0</v>
      </c>
      <c r="I190">
        <f>F190 / PREF</f>
        <v>0</v>
      </c>
      <c r="J190">
        <f>H190 ^ EPS</f>
        <v>0</v>
      </c>
      <c r="K190">
        <f>THETA * B190 * I190</f>
        <v>0</v>
      </c>
      <c r="L190">
        <f>MIN(M189, J190 * CITY_A)</f>
        <v>0</v>
      </c>
      <c r="M190">
        <f>K190 * SIZE_M2</f>
        <v>0</v>
      </c>
      <c r="N190">
        <f>M189 - K190</f>
        <v>0</v>
      </c>
      <c r="O190">
        <f>SIZE_M2 * F190</f>
        <v>0</v>
      </c>
      <c r="P190">
        <f>L190 * F190</f>
        <v>0</v>
      </c>
      <c r="Q190">
        <f>O190 / (1+INF_A)^(A190-1)</f>
        <v>0</v>
      </c>
      <c r="R190">
        <f>Q189 + K190</f>
        <v>0</v>
      </c>
      <c r="S190">
        <f>INT((A190-1)/12)+1</f>
        <v>0</v>
      </c>
    </row>
    <row r="191" spans="1:19">
      <c r="A191">
        <v>190</v>
      </c>
      <c r="B191">
        <f>TEXT(DATEVALUE(START&amp;"-01")+ (ROW()-2),"yyyy-mm")</f>
        <v>0</v>
      </c>
      <c r="C191">
        <f>INDEX(SEASON_FACTORS,MOD(A191-1,12)+1)</f>
        <v>0</v>
      </c>
      <c r="D191">
        <f>INT((A191-1)/12)</f>
        <v>0</v>
      </c>
      <c r="E191">
        <f>COUNTIF(THRESH_ABS,"&lt;="&amp;Q190)</f>
        <v>0</v>
      </c>
      <c r="F191">
        <f>(1+STEP)^(C191+D191)</f>
        <v>0</v>
      </c>
      <c r="G191">
        <f>P0_M2 * (1+INF_A)^(A191-1) * (1+PLUS_A)^(A191-1) * E191</f>
        <v>0</v>
      </c>
      <c r="H191">
        <f>F191 / (1+INF_A)^(A191-1)</f>
        <v>0</v>
      </c>
      <c r="I191">
        <f>F191 / PREF</f>
        <v>0</v>
      </c>
      <c r="J191">
        <f>H191 ^ EPS</f>
        <v>0</v>
      </c>
      <c r="K191">
        <f>THETA * B191 * I191</f>
        <v>0</v>
      </c>
      <c r="L191">
        <f>MIN(M190, J191 * CITY_A)</f>
        <v>0</v>
      </c>
      <c r="M191">
        <f>K191 * SIZE_M2</f>
        <v>0</v>
      </c>
      <c r="N191">
        <f>M190 - K191</f>
        <v>0</v>
      </c>
      <c r="O191">
        <f>SIZE_M2 * F191</f>
        <v>0</v>
      </c>
      <c r="P191">
        <f>L191 * F191</f>
        <v>0</v>
      </c>
      <c r="Q191">
        <f>O191 / (1+INF_A)^(A191-1)</f>
        <v>0</v>
      </c>
      <c r="R191">
        <f>Q190 + K191</f>
        <v>0</v>
      </c>
      <c r="S191">
        <f>INT((A191-1)/12)+1</f>
        <v>0</v>
      </c>
    </row>
    <row r="192" spans="1:19">
      <c r="A192">
        <v>191</v>
      </c>
      <c r="B192">
        <f>TEXT(DATEVALUE(START&amp;"-01")+ (ROW()-2),"yyyy-mm")</f>
        <v>0</v>
      </c>
      <c r="C192">
        <f>INDEX(SEASON_FACTORS,MOD(A192-1,12)+1)</f>
        <v>0</v>
      </c>
      <c r="D192">
        <f>INT((A192-1)/12)</f>
        <v>0</v>
      </c>
      <c r="E192">
        <f>COUNTIF(THRESH_ABS,"&lt;="&amp;Q191)</f>
        <v>0</v>
      </c>
      <c r="F192">
        <f>(1+STEP)^(C192+D192)</f>
        <v>0</v>
      </c>
      <c r="G192">
        <f>P0_M2 * (1+INF_A)^(A192-1) * (1+PLUS_A)^(A192-1) * E192</f>
        <v>0</v>
      </c>
      <c r="H192">
        <f>F192 / (1+INF_A)^(A192-1)</f>
        <v>0</v>
      </c>
      <c r="I192">
        <f>F192 / PREF</f>
        <v>0</v>
      </c>
      <c r="J192">
        <f>H192 ^ EPS</f>
        <v>0</v>
      </c>
      <c r="K192">
        <f>THETA * B192 * I192</f>
        <v>0</v>
      </c>
      <c r="L192">
        <f>MIN(M191, J192 * CITY_A)</f>
        <v>0</v>
      </c>
      <c r="M192">
        <f>K192 * SIZE_M2</f>
        <v>0</v>
      </c>
      <c r="N192">
        <f>M191 - K192</f>
        <v>0</v>
      </c>
      <c r="O192">
        <f>SIZE_M2 * F192</f>
        <v>0</v>
      </c>
      <c r="P192">
        <f>L192 * F192</f>
        <v>0</v>
      </c>
      <c r="Q192">
        <f>O192 / (1+INF_A)^(A192-1)</f>
        <v>0</v>
      </c>
      <c r="R192">
        <f>Q191 + K192</f>
        <v>0</v>
      </c>
      <c r="S192">
        <f>INT((A192-1)/12)+1</f>
        <v>0</v>
      </c>
    </row>
    <row r="193" spans="1:19">
      <c r="A193">
        <v>192</v>
      </c>
      <c r="B193">
        <f>TEXT(DATEVALUE(START&amp;"-01")+ (ROW()-2),"yyyy-mm")</f>
        <v>0</v>
      </c>
      <c r="C193">
        <f>INDEX(SEASON_FACTORS,MOD(A193-1,12)+1)</f>
        <v>0</v>
      </c>
      <c r="D193">
        <f>INT((A193-1)/12)</f>
        <v>0</v>
      </c>
      <c r="E193">
        <f>COUNTIF(THRESH_ABS,"&lt;="&amp;Q192)</f>
        <v>0</v>
      </c>
      <c r="F193">
        <f>(1+STEP)^(C193+D193)</f>
        <v>0</v>
      </c>
      <c r="G193">
        <f>P0_M2 * (1+INF_A)^(A193-1) * (1+PLUS_A)^(A193-1) * E193</f>
        <v>0</v>
      </c>
      <c r="H193">
        <f>F193 / (1+INF_A)^(A193-1)</f>
        <v>0</v>
      </c>
      <c r="I193">
        <f>F193 / PREF</f>
        <v>0</v>
      </c>
      <c r="J193">
        <f>H193 ^ EPS</f>
        <v>0</v>
      </c>
      <c r="K193">
        <f>THETA * B193 * I193</f>
        <v>0</v>
      </c>
      <c r="L193">
        <f>MIN(M192, J193 * CITY_A)</f>
        <v>0</v>
      </c>
      <c r="M193">
        <f>K193 * SIZE_M2</f>
        <v>0</v>
      </c>
      <c r="N193">
        <f>M192 - K193</f>
        <v>0</v>
      </c>
      <c r="O193">
        <f>SIZE_M2 * F193</f>
        <v>0</v>
      </c>
      <c r="P193">
        <f>L193 * F193</f>
        <v>0</v>
      </c>
      <c r="Q193">
        <f>O193 / (1+INF_A)^(A193-1)</f>
        <v>0</v>
      </c>
      <c r="R193">
        <f>Q192 + K193</f>
        <v>0</v>
      </c>
      <c r="S193">
        <f>INT((A193-1)/12)+1</f>
        <v>0</v>
      </c>
    </row>
    <row r="194" spans="1:19">
      <c r="A194">
        <v>193</v>
      </c>
      <c r="B194">
        <f>TEXT(DATEVALUE(START&amp;"-01")+ (ROW()-2),"yyyy-mm")</f>
        <v>0</v>
      </c>
      <c r="C194">
        <f>INDEX(SEASON_FACTORS,MOD(A194-1,12)+1)</f>
        <v>0</v>
      </c>
      <c r="D194">
        <f>INT((A194-1)/12)</f>
        <v>0</v>
      </c>
      <c r="E194">
        <f>COUNTIF(THRESH_ABS,"&lt;="&amp;Q193)</f>
        <v>0</v>
      </c>
      <c r="F194">
        <f>(1+STEP)^(C194+D194)</f>
        <v>0</v>
      </c>
      <c r="G194">
        <f>P0_M2 * (1+INF_A)^(A194-1) * (1+PLUS_A)^(A194-1) * E194</f>
        <v>0</v>
      </c>
      <c r="H194">
        <f>F194 / (1+INF_A)^(A194-1)</f>
        <v>0</v>
      </c>
      <c r="I194">
        <f>F194 / PREF</f>
        <v>0</v>
      </c>
      <c r="J194">
        <f>H194 ^ EPS</f>
        <v>0</v>
      </c>
      <c r="K194">
        <f>THETA * B194 * I194</f>
        <v>0</v>
      </c>
      <c r="L194">
        <f>MIN(M193, J194 * CITY_A)</f>
        <v>0</v>
      </c>
      <c r="M194">
        <f>K194 * SIZE_M2</f>
        <v>0</v>
      </c>
      <c r="N194">
        <f>M193 - K194</f>
        <v>0</v>
      </c>
      <c r="O194">
        <f>SIZE_M2 * F194</f>
        <v>0</v>
      </c>
      <c r="P194">
        <f>L194 * F194</f>
        <v>0</v>
      </c>
      <c r="Q194">
        <f>O194 / (1+INF_A)^(A194-1)</f>
        <v>0</v>
      </c>
      <c r="R194">
        <f>Q193 + K194</f>
        <v>0</v>
      </c>
      <c r="S194">
        <f>INT((A194-1)/12)+1</f>
        <v>0</v>
      </c>
    </row>
    <row r="195" spans="1:19">
      <c r="A195">
        <v>194</v>
      </c>
      <c r="B195">
        <f>TEXT(DATEVALUE(START&amp;"-01")+ (ROW()-2),"yyyy-mm")</f>
        <v>0</v>
      </c>
      <c r="C195">
        <f>INDEX(SEASON_FACTORS,MOD(A195-1,12)+1)</f>
        <v>0</v>
      </c>
      <c r="D195">
        <f>INT((A195-1)/12)</f>
        <v>0</v>
      </c>
      <c r="E195">
        <f>COUNTIF(THRESH_ABS,"&lt;="&amp;Q194)</f>
        <v>0</v>
      </c>
      <c r="F195">
        <f>(1+STEP)^(C195+D195)</f>
        <v>0</v>
      </c>
      <c r="G195">
        <f>P0_M2 * (1+INF_A)^(A195-1) * (1+PLUS_A)^(A195-1) * E195</f>
        <v>0</v>
      </c>
      <c r="H195">
        <f>F195 / (1+INF_A)^(A195-1)</f>
        <v>0</v>
      </c>
      <c r="I195">
        <f>F195 / PREF</f>
        <v>0</v>
      </c>
      <c r="J195">
        <f>H195 ^ EPS</f>
        <v>0</v>
      </c>
      <c r="K195">
        <f>THETA * B195 * I195</f>
        <v>0</v>
      </c>
      <c r="L195">
        <f>MIN(M194, J195 * CITY_A)</f>
        <v>0</v>
      </c>
      <c r="M195">
        <f>K195 * SIZE_M2</f>
        <v>0</v>
      </c>
      <c r="N195">
        <f>M194 - K195</f>
        <v>0</v>
      </c>
      <c r="O195">
        <f>SIZE_M2 * F195</f>
        <v>0</v>
      </c>
      <c r="P195">
        <f>L195 * F195</f>
        <v>0</v>
      </c>
      <c r="Q195">
        <f>O195 / (1+INF_A)^(A195-1)</f>
        <v>0</v>
      </c>
      <c r="R195">
        <f>Q194 + K195</f>
        <v>0</v>
      </c>
      <c r="S195">
        <f>INT((A195-1)/12)+1</f>
        <v>0</v>
      </c>
    </row>
    <row r="196" spans="1:19">
      <c r="A196">
        <v>195</v>
      </c>
      <c r="B196">
        <f>TEXT(DATEVALUE(START&amp;"-01")+ (ROW()-2),"yyyy-mm")</f>
        <v>0</v>
      </c>
      <c r="C196">
        <f>INDEX(SEASON_FACTORS,MOD(A196-1,12)+1)</f>
        <v>0</v>
      </c>
      <c r="D196">
        <f>INT((A196-1)/12)</f>
        <v>0</v>
      </c>
      <c r="E196">
        <f>COUNTIF(THRESH_ABS,"&lt;="&amp;Q195)</f>
        <v>0</v>
      </c>
      <c r="F196">
        <f>(1+STEP)^(C196+D196)</f>
        <v>0</v>
      </c>
      <c r="G196">
        <f>P0_M2 * (1+INF_A)^(A196-1) * (1+PLUS_A)^(A196-1) * E196</f>
        <v>0</v>
      </c>
      <c r="H196">
        <f>F196 / (1+INF_A)^(A196-1)</f>
        <v>0</v>
      </c>
      <c r="I196">
        <f>F196 / PREF</f>
        <v>0</v>
      </c>
      <c r="J196">
        <f>H196 ^ EPS</f>
        <v>0</v>
      </c>
      <c r="K196">
        <f>THETA * B196 * I196</f>
        <v>0</v>
      </c>
      <c r="L196">
        <f>MIN(M195, J196 * CITY_A)</f>
        <v>0</v>
      </c>
      <c r="M196">
        <f>K196 * SIZE_M2</f>
        <v>0</v>
      </c>
      <c r="N196">
        <f>M195 - K196</f>
        <v>0</v>
      </c>
      <c r="O196">
        <f>SIZE_M2 * F196</f>
        <v>0</v>
      </c>
      <c r="P196">
        <f>L196 * F196</f>
        <v>0</v>
      </c>
      <c r="Q196">
        <f>O196 / (1+INF_A)^(A196-1)</f>
        <v>0</v>
      </c>
      <c r="R196">
        <f>Q195 + K196</f>
        <v>0</v>
      </c>
      <c r="S196">
        <f>INT((A196-1)/12)+1</f>
        <v>0</v>
      </c>
    </row>
    <row r="197" spans="1:19">
      <c r="A197">
        <v>196</v>
      </c>
      <c r="B197">
        <f>TEXT(DATEVALUE(START&amp;"-01")+ (ROW()-2),"yyyy-mm")</f>
        <v>0</v>
      </c>
      <c r="C197">
        <f>INDEX(SEASON_FACTORS,MOD(A197-1,12)+1)</f>
        <v>0</v>
      </c>
      <c r="D197">
        <f>INT((A197-1)/12)</f>
        <v>0</v>
      </c>
      <c r="E197">
        <f>COUNTIF(THRESH_ABS,"&lt;="&amp;Q196)</f>
        <v>0</v>
      </c>
      <c r="F197">
        <f>(1+STEP)^(C197+D197)</f>
        <v>0</v>
      </c>
      <c r="G197">
        <f>P0_M2 * (1+INF_A)^(A197-1) * (1+PLUS_A)^(A197-1) * E197</f>
        <v>0</v>
      </c>
      <c r="H197">
        <f>F197 / (1+INF_A)^(A197-1)</f>
        <v>0</v>
      </c>
      <c r="I197">
        <f>F197 / PREF</f>
        <v>0</v>
      </c>
      <c r="J197">
        <f>H197 ^ EPS</f>
        <v>0</v>
      </c>
      <c r="K197">
        <f>THETA * B197 * I197</f>
        <v>0</v>
      </c>
      <c r="L197">
        <f>MIN(M196, J197 * CITY_A)</f>
        <v>0</v>
      </c>
      <c r="M197">
        <f>K197 * SIZE_M2</f>
        <v>0</v>
      </c>
      <c r="N197">
        <f>M196 - K197</f>
        <v>0</v>
      </c>
      <c r="O197">
        <f>SIZE_M2 * F197</f>
        <v>0</v>
      </c>
      <c r="P197">
        <f>L197 * F197</f>
        <v>0</v>
      </c>
      <c r="Q197">
        <f>O197 / (1+INF_A)^(A197-1)</f>
        <v>0</v>
      </c>
      <c r="R197">
        <f>Q196 + K197</f>
        <v>0</v>
      </c>
      <c r="S197">
        <f>INT((A197-1)/12)+1</f>
        <v>0</v>
      </c>
    </row>
    <row r="198" spans="1:19">
      <c r="A198">
        <v>197</v>
      </c>
      <c r="B198">
        <f>TEXT(DATEVALUE(START&amp;"-01")+ (ROW()-2),"yyyy-mm")</f>
        <v>0</v>
      </c>
      <c r="C198">
        <f>INDEX(SEASON_FACTORS,MOD(A198-1,12)+1)</f>
        <v>0</v>
      </c>
      <c r="D198">
        <f>INT((A198-1)/12)</f>
        <v>0</v>
      </c>
      <c r="E198">
        <f>COUNTIF(THRESH_ABS,"&lt;="&amp;Q197)</f>
        <v>0</v>
      </c>
      <c r="F198">
        <f>(1+STEP)^(C198+D198)</f>
        <v>0</v>
      </c>
      <c r="G198">
        <f>P0_M2 * (1+INF_A)^(A198-1) * (1+PLUS_A)^(A198-1) * E198</f>
        <v>0</v>
      </c>
      <c r="H198">
        <f>F198 / (1+INF_A)^(A198-1)</f>
        <v>0</v>
      </c>
      <c r="I198">
        <f>F198 / PREF</f>
        <v>0</v>
      </c>
      <c r="J198">
        <f>H198 ^ EPS</f>
        <v>0</v>
      </c>
      <c r="K198">
        <f>THETA * B198 * I198</f>
        <v>0</v>
      </c>
      <c r="L198">
        <f>MIN(M197, J198 * CITY_A)</f>
        <v>0</v>
      </c>
      <c r="M198">
        <f>K198 * SIZE_M2</f>
        <v>0</v>
      </c>
      <c r="N198">
        <f>M197 - K198</f>
        <v>0</v>
      </c>
      <c r="O198">
        <f>SIZE_M2 * F198</f>
        <v>0</v>
      </c>
      <c r="P198">
        <f>L198 * F198</f>
        <v>0</v>
      </c>
      <c r="Q198">
        <f>O198 / (1+INF_A)^(A198-1)</f>
        <v>0</v>
      </c>
      <c r="R198">
        <f>Q197 + K198</f>
        <v>0</v>
      </c>
      <c r="S198">
        <f>INT((A198-1)/12)+1</f>
        <v>0</v>
      </c>
    </row>
    <row r="199" spans="1:19">
      <c r="A199">
        <v>198</v>
      </c>
      <c r="B199">
        <f>TEXT(DATEVALUE(START&amp;"-01")+ (ROW()-2),"yyyy-mm")</f>
        <v>0</v>
      </c>
      <c r="C199">
        <f>INDEX(SEASON_FACTORS,MOD(A199-1,12)+1)</f>
        <v>0</v>
      </c>
      <c r="D199">
        <f>INT((A199-1)/12)</f>
        <v>0</v>
      </c>
      <c r="E199">
        <f>COUNTIF(THRESH_ABS,"&lt;="&amp;Q198)</f>
        <v>0</v>
      </c>
      <c r="F199">
        <f>(1+STEP)^(C199+D199)</f>
        <v>0</v>
      </c>
      <c r="G199">
        <f>P0_M2 * (1+INF_A)^(A199-1) * (1+PLUS_A)^(A199-1) * E199</f>
        <v>0</v>
      </c>
      <c r="H199">
        <f>F199 / (1+INF_A)^(A199-1)</f>
        <v>0</v>
      </c>
      <c r="I199">
        <f>F199 / PREF</f>
        <v>0</v>
      </c>
      <c r="J199">
        <f>H199 ^ EPS</f>
        <v>0</v>
      </c>
      <c r="K199">
        <f>THETA * B199 * I199</f>
        <v>0</v>
      </c>
      <c r="L199">
        <f>MIN(M198, J199 * CITY_A)</f>
        <v>0</v>
      </c>
      <c r="M199">
        <f>K199 * SIZE_M2</f>
        <v>0</v>
      </c>
      <c r="N199">
        <f>M198 - K199</f>
        <v>0</v>
      </c>
      <c r="O199">
        <f>SIZE_M2 * F199</f>
        <v>0</v>
      </c>
      <c r="P199">
        <f>L199 * F199</f>
        <v>0</v>
      </c>
      <c r="Q199">
        <f>O199 / (1+INF_A)^(A199-1)</f>
        <v>0</v>
      </c>
      <c r="R199">
        <f>Q198 + K199</f>
        <v>0</v>
      </c>
      <c r="S199">
        <f>INT((A199-1)/12)+1</f>
        <v>0</v>
      </c>
    </row>
    <row r="200" spans="1:19">
      <c r="A200">
        <v>199</v>
      </c>
      <c r="B200">
        <f>TEXT(DATEVALUE(START&amp;"-01")+ (ROW()-2),"yyyy-mm")</f>
        <v>0</v>
      </c>
      <c r="C200">
        <f>INDEX(SEASON_FACTORS,MOD(A200-1,12)+1)</f>
        <v>0</v>
      </c>
      <c r="D200">
        <f>INT((A200-1)/12)</f>
        <v>0</v>
      </c>
      <c r="E200">
        <f>COUNTIF(THRESH_ABS,"&lt;="&amp;Q199)</f>
        <v>0</v>
      </c>
      <c r="F200">
        <f>(1+STEP)^(C200+D200)</f>
        <v>0</v>
      </c>
      <c r="G200">
        <f>P0_M2 * (1+INF_A)^(A200-1) * (1+PLUS_A)^(A200-1) * E200</f>
        <v>0</v>
      </c>
      <c r="H200">
        <f>F200 / (1+INF_A)^(A200-1)</f>
        <v>0</v>
      </c>
      <c r="I200">
        <f>F200 / PREF</f>
        <v>0</v>
      </c>
      <c r="J200">
        <f>H200 ^ EPS</f>
        <v>0</v>
      </c>
      <c r="K200">
        <f>THETA * B200 * I200</f>
        <v>0</v>
      </c>
      <c r="L200">
        <f>MIN(M199, J200 * CITY_A)</f>
        <v>0</v>
      </c>
      <c r="M200">
        <f>K200 * SIZE_M2</f>
        <v>0</v>
      </c>
      <c r="N200">
        <f>M199 - K200</f>
        <v>0</v>
      </c>
      <c r="O200">
        <f>SIZE_M2 * F200</f>
        <v>0</v>
      </c>
      <c r="P200">
        <f>L200 * F200</f>
        <v>0</v>
      </c>
      <c r="Q200">
        <f>O200 / (1+INF_A)^(A200-1)</f>
        <v>0</v>
      </c>
      <c r="R200">
        <f>Q199 + K200</f>
        <v>0</v>
      </c>
      <c r="S200">
        <f>INT((A200-1)/12)+1</f>
        <v>0</v>
      </c>
    </row>
    <row r="201" spans="1:19">
      <c r="A201">
        <v>200</v>
      </c>
      <c r="B201">
        <f>TEXT(DATEVALUE(START&amp;"-01")+ (ROW()-2),"yyyy-mm")</f>
        <v>0</v>
      </c>
      <c r="C201">
        <f>INDEX(SEASON_FACTORS,MOD(A201-1,12)+1)</f>
        <v>0</v>
      </c>
      <c r="D201">
        <f>INT((A201-1)/12)</f>
        <v>0</v>
      </c>
      <c r="E201">
        <f>COUNTIF(THRESH_ABS,"&lt;="&amp;Q200)</f>
        <v>0</v>
      </c>
      <c r="F201">
        <f>(1+STEP)^(C201+D201)</f>
        <v>0</v>
      </c>
      <c r="G201">
        <f>P0_M2 * (1+INF_A)^(A201-1) * (1+PLUS_A)^(A201-1) * E201</f>
        <v>0</v>
      </c>
      <c r="H201">
        <f>F201 / (1+INF_A)^(A201-1)</f>
        <v>0</v>
      </c>
      <c r="I201">
        <f>F201 / PREF</f>
        <v>0</v>
      </c>
      <c r="J201">
        <f>H201 ^ EPS</f>
        <v>0</v>
      </c>
      <c r="K201">
        <f>THETA * B201 * I201</f>
        <v>0</v>
      </c>
      <c r="L201">
        <f>MIN(M200, J201 * CITY_A)</f>
        <v>0</v>
      </c>
      <c r="M201">
        <f>K201 * SIZE_M2</f>
        <v>0</v>
      </c>
      <c r="N201">
        <f>M200 - K201</f>
        <v>0</v>
      </c>
      <c r="O201">
        <f>SIZE_M2 * F201</f>
        <v>0</v>
      </c>
      <c r="P201">
        <f>L201 * F201</f>
        <v>0</v>
      </c>
      <c r="Q201">
        <f>O201 / (1+INF_A)^(A201-1)</f>
        <v>0</v>
      </c>
      <c r="R201">
        <f>Q200 + K201</f>
        <v>0</v>
      </c>
      <c r="S201">
        <f>INT((A201-1)/12)+1</f>
        <v>0</v>
      </c>
    </row>
    <row r="202" spans="1:19">
      <c r="A202">
        <v>201</v>
      </c>
      <c r="B202">
        <f>TEXT(DATEVALUE(START&amp;"-01")+ (ROW()-2),"yyyy-mm")</f>
        <v>0</v>
      </c>
      <c r="C202">
        <f>INDEX(SEASON_FACTORS,MOD(A202-1,12)+1)</f>
        <v>0</v>
      </c>
      <c r="D202">
        <f>INT((A202-1)/12)</f>
        <v>0</v>
      </c>
      <c r="E202">
        <f>COUNTIF(THRESH_ABS,"&lt;="&amp;Q201)</f>
        <v>0</v>
      </c>
      <c r="F202">
        <f>(1+STEP)^(C202+D202)</f>
        <v>0</v>
      </c>
      <c r="G202">
        <f>P0_M2 * (1+INF_A)^(A202-1) * (1+PLUS_A)^(A202-1) * E202</f>
        <v>0</v>
      </c>
      <c r="H202">
        <f>F202 / (1+INF_A)^(A202-1)</f>
        <v>0</v>
      </c>
      <c r="I202">
        <f>F202 / PREF</f>
        <v>0</v>
      </c>
      <c r="J202">
        <f>H202 ^ EPS</f>
        <v>0</v>
      </c>
      <c r="K202">
        <f>THETA * B202 * I202</f>
        <v>0</v>
      </c>
      <c r="L202">
        <f>MIN(M201, J202 * CITY_A)</f>
        <v>0</v>
      </c>
      <c r="M202">
        <f>K202 * SIZE_M2</f>
        <v>0</v>
      </c>
      <c r="N202">
        <f>M201 - K202</f>
        <v>0</v>
      </c>
      <c r="O202">
        <f>SIZE_M2 * F202</f>
        <v>0</v>
      </c>
      <c r="P202">
        <f>L202 * F202</f>
        <v>0</v>
      </c>
      <c r="Q202">
        <f>O202 / (1+INF_A)^(A202-1)</f>
        <v>0</v>
      </c>
      <c r="R202">
        <f>Q201 + K202</f>
        <v>0</v>
      </c>
      <c r="S202">
        <f>INT((A202-1)/12)+1</f>
        <v>0</v>
      </c>
    </row>
    <row r="203" spans="1:19">
      <c r="A203">
        <v>202</v>
      </c>
      <c r="B203">
        <f>TEXT(DATEVALUE(START&amp;"-01")+ (ROW()-2),"yyyy-mm")</f>
        <v>0</v>
      </c>
      <c r="C203">
        <f>INDEX(SEASON_FACTORS,MOD(A203-1,12)+1)</f>
        <v>0</v>
      </c>
      <c r="D203">
        <f>INT((A203-1)/12)</f>
        <v>0</v>
      </c>
      <c r="E203">
        <f>COUNTIF(THRESH_ABS,"&lt;="&amp;Q202)</f>
        <v>0</v>
      </c>
      <c r="F203">
        <f>(1+STEP)^(C203+D203)</f>
        <v>0</v>
      </c>
      <c r="G203">
        <f>P0_M2 * (1+INF_A)^(A203-1) * (1+PLUS_A)^(A203-1) * E203</f>
        <v>0</v>
      </c>
      <c r="H203">
        <f>F203 / (1+INF_A)^(A203-1)</f>
        <v>0</v>
      </c>
      <c r="I203">
        <f>F203 / PREF</f>
        <v>0</v>
      </c>
      <c r="J203">
        <f>H203 ^ EPS</f>
        <v>0</v>
      </c>
      <c r="K203">
        <f>THETA * B203 * I203</f>
        <v>0</v>
      </c>
      <c r="L203">
        <f>MIN(M202, J203 * CITY_A)</f>
        <v>0</v>
      </c>
      <c r="M203">
        <f>K203 * SIZE_M2</f>
        <v>0</v>
      </c>
      <c r="N203">
        <f>M202 - K203</f>
        <v>0</v>
      </c>
      <c r="O203">
        <f>SIZE_M2 * F203</f>
        <v>0</v>
      </c>
      <c r="P203">
        <f>L203 * F203</f>
        <v>0</v>
      </c>
      <c r="Q203">
        <f>O203 / (1+INF_A)^(A203-1)</f>
        <v>0</v>
      </c>
      <c r="R203">
        <f>Q202 + K203</f>
        <v>0</v>
      </c>
      <c r="S203">
        <f>INT((A203-1)/12)+1</f>
        <v>0</v>
      </c>
    </row>
    <row r="204" spans="1:19">
      <c r="A204">
        <v>203</v>
      </c>
      <c r="B204">
        <f>TEXT(DATEVALUE(START&amp;"-01")+ (ROW()-2),"yyyy-mm")</f>
        <v>0</v>
      </c>
      <c r="C204">
        <f>INDEX(SEASON_FACTORS,MOD(A204-1,12)+1)</f>
        <v>0</v>
      </c>
      <c r="D204">
        <f>INT((A204-1)/12)</f>
        <v>0</v>
      </c>
      <c r="E204">
        <f>COUNTIF(THRESH_ABS,"&lt;="&amp;Q203)</f>
        <v>0</v>
      </c>
      <c r="F204">
        <f>(1+STEP)^(C204+D204)</f>
        <v>0</v>
      </c>
      <c r="G204">
        <f>P0_M2 * (1+INF_A)^(A204-1) * (1+PLUS_A)^(A204-1) * E204</f>
        <v>0</v>
      </c>
      <c r="H204">
        <f>F204 / (1+INF_A)^(A204-1)</f>
        <v>0</v>
      </c>
      <c r="I204">
        <f>F204 / PREF</f>
        <v>0</v>
      </c>
      <c r="J204">
        <f>H204 ^ EPS</f>
        <v>0</v>
      </c>
      <c r="K204">
        <f>THETA * B204 * I204</f>
        <v>0</v>
      </c>
      <c r="L204">
        <f>MIN(M203, J204 * CITY_A)</f>
        <v>0</v>
      </c>
      <c r="M204">
        <f>K204 * SIZE_M2</f>
        <v>0</v>
      </c>
      <c r="N204">
        <f>M203 - K204</f>
        <v>0</v>
      </c>
      <c r="O204">
        <f>SIZE_M2 * F204</f>
        <v>0</v>
      </c>
      <c r="P204">
        <f>L204 * F204</f>
        <v>0</v>
      </c>
      <c r="Q204">
        <f>O204 / (1+INF_A)^(A204-1)</f>
        <v>0</v>
      </c>
      <c r="R204">
        <f>Q203 + K204</f>
        <v>0</v>
      </c>
      <c r="S204">
        <f>INT((A204-1)/12)+1</f>
        <v>0</v>
      </c>
    </row>
    <row r="205" spans="1:19">
      <c r="A205">
        <v>204</v>
      </c>
      <c r="B205">
        <f>TEXT(DATEVALUE(START&amp;"-01")+ (ROW()-2),"yyyy-mm")</f>
        <v>0</v>
      </c>
      <c r="C205">
        <f>INDEX(SEASON_FACTORS,MOD(A205-1,12)+1)</f>
        <v>0</v>
      </c>
      <c r="D205">
        <f>INT((A205-1)/12)</f>
        <v>0</v>
      </c>
      <c r="E205">
        <f>COUNTIF(THRESH_ABS,"&lt;="&amp;Q204)</f>
        <v>0</v>
      </c>
      <c r="F205">
        <f>(1+STEP)^(C205+D205)</f>
        <v>0</v>
      </c>
      <c r="G205">
        <f>P0_M2 * (1+INF_A)^(A205-1) * (1+PLUS_A)^(A205-1) * E205</f>
        <v>0</v>
      </c>
      <c r="H205">
        <f>F205 / (1+INF_A)^(A205-1)</f>
        <v>0</v>
      </c>
      <c r="I205">
        <f>F205 / PREF</f>
        <v>0</v>
      </c>
      <c r="J205">
        <f>H205 ^ EPS</f>
        <v>0</v>
      </c>
      <c r="K205">
        <f>THETA * B205 * I205</f>
        <v>0</v>
      </c>
      <c r="L205">
        <f>MIN(M204, J205 * CITY_A)</f>
        <v>0</v>
      </c>
      <c r="M205">
        <f>K205 * SIZE_M2</f>
        <v>0</v>
      </c>
      <c r="N205">
        <f>M204 - K205</f>
        <v>0</v>
      </c>
      <c r="O205">
        <f>SIZE_M2 * F205</f>
        <v>0</v>
      </c>
      <c r="P205">
        <f>L205 * F205</f>
        <v>0</v>
      </c>
      <c r="Q205">
        <f>O205 / (1+INF_A)^(A205-1)</f>
        <v>0</v>
      </c>
      <c r="R205">
        <f>Q204 + K205</f>
        <v>0</v>
      </c>
      <c r="S205">
        <f>INT((A205-1)/12)+1</f>
        <v>0</v>
      </c>
    </row>
    <row r="206" spans="1:19">
      <c r="A206">
        <v>205</v>
      </c>
      <c r="B206">
        <f>TEXT(DATEVALUE(START&amp;"-01")+ (ROW()-2),"yyyy-mm")</f>
        <v>0</v>
      </c>
      <c r="C206">
        <f>INDEX(SEASON_FACTORS,MOD(A206-1,12)+1)</f>
        <v>0</v>
      </c>
      <c r="D206">
        <f>INT((A206-1)/12)</f>
        <v>0</v>
      </c>
      <c r="E206">
        <f>COUNTIF(THRESH_ABS,"&lt;="&amp;Q205)</f>
        <v>0</v>
      </c>
      <c r="F206">
        <f>(1+STEP)^(C206+D206)</f>
        <v>0</v>
      </c>
      <c r="G206">
        <f>P0_M2 * (1+INF_A)^(A206-1) * (1+PLUS_A)^(A206-1) * E206</f>
        <v>0</v>
      </c>
      <c r="H206">
        <f>F206 / (1+INF_A)^(A206-1)</f>
        <v>0</v>
      </c>
      <c r="I206">
        <f>F206 / PREF</f>
        <v>0</v>
      </c>
      <c r="J206">
        <f>H206 ^ EPS</f>
        <v>0</v>
      </c>
      <c r="K206">
        <f>THETA * B206 * I206</f>
        <v>0</v>
      </c>
      <c r="L206">
        <f>MIN(M205, J206 * CITY_A)</f>
        <v>0</v>
      </c>
      <c r="M206">
        <f>K206 * SIZE_M2</f>
        <v>0</v>
      </c>
      <c r="N206">
        <f>M205 - K206</f>
        <v>0</v>
      </c>
      <c r="O206">
        <f>SIZE_M2 * F206</f>
        <v>0</v>
      </c>
      <c r="P206">
        <f>L206 * F206</f>
        <v>0</v>
      </c>
      <c r="Q206">
        <f>O206 / (1+INF_A)^(A206-1)</f>
        <v>0</v>
      </c>
      <c r="R206">
        <f>Q205 + K206</f>
        <v>0</v>
      </c>
      <c r="S206">
        <f>INT((A206-1)/12)+1</f>
        <v>0</v>
      </c>
    </row>
    <row r="207" spans="1:19">
      <c r="A207">
        <v>206</v>
      </c>
      <c r="B207">
        <f>TEXT(DATEVALUE(START&amp;"-01")+ (ROW()-2),"yyyy-mm")</f>
        <v>0</v>
      </c>
      <c r="C207">
        <f>INDEX(SEASON_FACTORS,MOD(A207-1,12)+1)</f>
        <v>0</v>
      </c>
      <c r="D207">
        <f>INT((A207-1)/12)</f>
        <v>0</v>
      </c>
      <c r="E207">
        <f>COUNTIF(THRESH_ABS,"&lt;="&amp;Q206)</f>
        <v>0</v>
      </c>
      <c r="F207">
        <f>(1+STEP)^(C207+D207)</f>
        <v>0</v>
      </c>
      <c r="G207">
        <f>P0_M2 * (1+INF_A)^(A207-1) * (1+PLUS_A)^(A207-1) * E207</f>
        <v>0</v>
      </c>
      <c r="H207">
        <f>F207 / (1+INF_A)^(A207-1)</f>
        <v>0</v>
      </c>
      <c r="I207">
        <f>F207 / PREF</f>
        <v>0</v>
      </c>
      <c r="J207">
        <f>H207 ^ EPS</f>
        <v>0</v>
      </c>
      <c r="K207">
        <f>THETA * B207 * I207</f>
        <v>0</v>
      </c>
      <c r="L207">
        <f>MIN(M206, J207 * CITY_A)</f>
        <v>0</v>
      </c>
      <c r="M207">
        <f>K207 * SIZE_M2</f>
        <v>0</v>
      </c>
      <c r="N207">
        <f>M206 - K207</f>
        <v>0</v>
      </c>
      <c r="O207">
        <f>SIZE_M2 * F207</f>
        <v>0</v>
      </c>
      <c r="P207">
        <f>L207 * F207</f>
        <v>0</v>
      </c>
      <c r="Q207">
        <f>O207 / (1+INF_A)^(A207-1)</f>
        <v>0</v>
      </c>
      <c r="R207">
        <f>Q206 + K207</f>
        <v>0</v>
      </c>
      <c r="S207">
        <f>INT((A207-1)/12)+1</f>
        <v>0</v>
      </c>
    </row>
    <row r="208" spans="1:19">
      <c r="A208">
        <v>207</v>
      </c>
      <c r="B208">
        <f>TEXT(DATEVALUE(START&amp;"-01")+ (ROW()-2),"yyyy-mm")</f>
        <v>0</v>
      </c>
      <c r="C208">
        <f>INDEX(SEASON_FACTORS,MOD(A208-1,12)+1)</f>
        <v>0</v>
      </c>
      <c r="D208">
        <f>INT((A208-1)/12)</f>
        <v>0</v>
      </c>
      <c r="E208">
        <f>COUNTIF(THRESH_ABS,"&lt;="&amp;Q207)</f>
        <v>0</v>
      </c>
      <c r="F208">
        <f>(1+STEP)^(C208+D208)</f>
        <v>0</v>
      </c>
      <c r="G208">
        <f>P0_M2 * (1+INF_A)^(A208-1) * (1+PLUS_A)^(A208-1) * E208</f>
        <v>0</v>
      </c>
      <c r="H208">
        <f>F208 / (1+INF_A)^(A208-1)</f>
        <v>0</v>
      </c>
      <c r="I208">
        <f>F208 / PREF</f>
        <v>0</v>
      </c>
      <c r="J208">
        <f>H208 ^ EPS</f>
        <v>0</v>
      </c>
      <c r="K208">
        <f>THETA * B208 * I208</f>
        <v>0</v>
      </c>
      <c r="L208">
        <f>MIN(M207, J208 * CITY_A)</f>
        <v>0</v>
      </c>
      <c r="M208">
        <f>K208 * SIZE_M2</f>
        <v>0</v>
      </c>
      <c r="N208">
        <f>M207 - K208</f>
        <v>0</v>
      </c>
      <c r="O208">
        <f>SIZE_M2 * F208</f>
        <v>0</v>
      </c>
      <c r="P208">
        <f>L208 * F208</f>
        <v>0</v>
      </c>
      <c r="Q208">
        <f>O208 / (1+INF_A)^(A208-1)</f>
        <v>0</v>
      </c>
      <c r="R208">
        <f>Q207 + K208</f>
        <v>0</v>
      </c>
      <c r="S208">
        <f>INT((A208-1)/12)+1</f>
        <v>0</v>
      </c>
    </row>
    <row r="209" spans="1:19">
      <c r="A209">
        <v>208</v>
      </c>
      <c r="B209">
        <f>TEXT(DATEVALUE(START&amp;"-01")+ (ROW()-2),"yyyy-mm")</f>
        <v>0</v>
      </c>
      <c r="C209">
        <f>INDEX(SEASON_FACTORS,MOD(A209-1,12)+1)</f>
        <v>0</v>
      </c>
      <c r="D209">
        <f>INT((A209-1)/12)</f>
        <v>0</v>
      </c>
      <c r="E209">
        <f>COUNTIF(THRESH_ABS,"&lt;="&amp;Q208)</f>
        <v>0</v>
      </c>
      <c r="F209">
        <f>(1+STEP)^(C209+D209)</f>
        <v>0</v>
      </c>
      <c r="G209">
        <f>P0_M2 * (1+INF_A)^(A209-1) * (1+PLUS_A)^(A209-1) * E209</f>
        <v>0</v>
      </c>
      <c r="H209">
        <f>F209 / (1+INF_A)^(A209-1)</f>
        <v>0</v>
      </c>
      <c r="I209">
        <f>F209 / PREF</f>
        <v>0</v>
      </c>
      <c r="J209">
        <f>H209 ^ EPS</f>
        <v>0</v>
      </c>
      <c r="K209">
        <f>THETA * B209 * I209</f>
        <v>0</v>
      </c>
      <c r="L209">
        <f>MIN(M208, J209 * CITY_A)</f>
        <v>0</v>
      </c>
      <c r="M209">
        <f>K209 * SIZE_M2</f>
        <v>0</v>
      </c>
      <c r="N209">
        <f>M208 - K209</f>
        <v>0</v>
      </c>
      <c r="O209">
        <f>SIZE_M2 * F209</f>
        <v>0</v>
      </c>
      <c r="P209">
        <f>L209 * F209</f>
        <v>0</v>
      </c>
      <c r="Q209">
        <f>O209 / (1+INF_A)^(A209-1)</f>
        <v>0</v>
      </c>
      <c r="R209">
        <f>Q208 + K209</f>
        <v>0</v>
      </c>
      <c r="S209">
        <f>INT((A209-1)/12)+1</f>
        <v>0</v>
      </c>
    </row>
    <row r="210" spans="1:19">
      <c r="A210">
        <v>209</v>
      </c>
      <c r="B210">
        <f>TEXT(DATEVALUE(START&amp;"-01")+ (ROW()-2),"yyyy-mm")</f>
        <v>0</v>
      </c>
      <c r="C210">
        <f>INDEX(SEASON_FACTORS,MOD(A210-1,12)+1)</f>
        <v>0</v>
      </c>
      <c r="D210">
        <f>INT((A210-1)/12)</f>
        <v>0</v>
      </c>
      <c r="E210">
        <f>COUNTIF(THRESH_ABS,"&lt;="&amp;Q209)</f>
        <v>0</v>
      </c>
      <c r="F210">
        <f>(1+STEP)^(C210+D210)</f>
        <v>0</v>
      </c>
      <c r="G210">
        <f>P0_M2 * (1+INF_A)^(A210-1) * (1+PLUS_A)^(A210-1) * E210</f>
        <v>0</v>
      </c>
      <c r="H210">
        <f>F210 / (1+INF_A)^(A210-1)</f>
        <v>0</v>
      </c>
      <c r="I210">
        <f>F210 / PREF</f>
        <v>0</v>
      </c>
      <c r="J210">
        <f>H210 ^ EPS</f>
        <v>0</v>
      </c>
      <c r="K210">
        <f>THETA * B210 * I210</f>
        <v>0</v>
      </c>
      <c r="L210">
        <f>MIN(M209, J210 * CITY_A)</f>
        <v>0</v>
      </c>
      <c r="M210">
        <f>K210 * SIZE_M2</f>
        <v>0</v>
      </c>
      <c r="N210">
        <f>M209 - K210</f>
        <v>0</v>
      </c>
      <c r="O210">
        <f>SIZE_M2 * F210</f>
        <v>0</v>
      </c>
      <c r="P210">
        <f>L210 * F210</f>
        <v>0</v>
      </c>
      <c r="Q210">
        <f>O210 / (1+INF_A)^(A210-1)</f>
        <v>0</v>
      </c>
      <c r="R210">
        <f>Q209 + K210</f>
        <v>0</v>
      </c>
      <c r="S210">
        <f>INT((A210-1)/12)+1</f>
        <v>0</v>
      </c>
    </row>
    <row r="211" spans="1:19">
      <c r="A211">
        <v>210</v>
      </c>
      <c r="B211">
        <f>TEXT(DATEVALUE(START&amp;"-01")+ (ROW()-2),"yyyy-mm")</f>
        <v>0</v>
      </c>
      <c r="C211">
        <f>INDEX(SEASON_FACTORS,MOD(A211-1,12)+1)</f>
        <v>0</v>
      </c>
      <c r="D211">
        <f>INT((A211-1)/12)</f>
        <v>0</v>
      </c>
      <c r="E211">
        <f>COUNTIF(THRESH_ABS,"&lt;="&amp;Q210)</f>
        <v>0</v>
      </c>
      <c r="F211">
        <f>(1+STEP)^(C211+D211)</f>
        <v>0</v>
      </c>
      <c r="G211">
        <f>P0_M2 * (1+INF_A)^(A211-1) * (1+PLUS_A)^(A211-1) * E211</f>
        <v>0</v>
      </c>
      <c r="H211">
        <f>F211 / (1+INF_A)^(A211-1)</f>
        <v>0</v>
      </c>
      <c r="I211">
        <f>F211 / PREF</f>
        <v>0</v>
      </c>
      <c r="J211">
        <f>H211 ^ EPS</f>
        <v>0</v>
      </c>
      <c r="K211">
        <f>THETA * B211 * I211</f>
        <v>0</v>
      </c>
      <c r="L211">
        <f>MIN(M210, J211 * CITY_A)</f>
        <v>0</v>
      </c>
      <c r="M211">
        <f>K211 * SIZE_M2</f>
        <v>0</v>
      </c>
      <c r="N211">
        <f>M210 - K211</f>
        <v>0</v>
      </c>
      <c r="O211">
        <f>SIZE_M2 * F211</f>
        <v>0</v>
      </c>
      <c r="P211">
        <f>L211 * F211</f>
        <v>0</v>
      </c>
      <c r="Q211">
        <f>O211 / (1+INF_A)^(A211-1)</f>
        <v>0</v>
      </c>
      <c r="R211">
        <f>Q210 + K211</f>
        <v>0</v>
      </c>
      <c r="S211">
        <f>INT((A211-1)/12)+1</f>
        <v>0</v>
      </c>
    </row>
    <row r="212" spans="1:19">
      <c r="A212">
        <v>211</v>
      </c>
      <c r="B212">
        <f>TEXT(DATEVALUE(START&amp;"-01")+ (ROW()-2),"yyyy-mm")</f>
        <v>0</v>
      </c>
      <c r="C212">
        <f>INDEX(SEASON_FACTORS,MOD(A212-1,12)+1)</f>
        <v>0</v>
      </c>
      <c r="D212">
        <f>INT((A212-1)/12)</f>
        <v>0</v>
      </c>
      <c r="E212">
        <f>COUNTIF(THRESH_ABS,"&lt;="&amp;Q211)</f>
        <v>0</v>
      </c>
      <c r="F212">
        <f>(1+STEP)^(C212+D212)</f>
        <v>0</v>
      </c>
      <c r="G212">
        <f>P0_M2 * (1+INF_A)^(A212-1) * (1+PLUS_A)^(A212-1) * E212</f>
        <v>0</v>
      </c>
      <c r="H212">
        <f>F212 / (1+INF_A)^(A212-1)</f>
        <v>0</v>
      </c>
      <c r="I212">
        <f>F212 / PREF</f>
        <v>0</v>
      </c>
      <c r="J212">
        <f>H212 ^ EPS</f>
        <v>0</v>
      </c>
      <c r="K212">
        <f>THETA * B212 * I212</f>
        <v>0</v>
      </c>
      <c r="L212">
        <f>MIN(M211, J212 * CITY_A)</f>
        <v>0</v>
      </c>
      <c r="M212">
        <f>K212 * SIZE_M2</f>
        <v>0</v>
      </c>
      <c r="N212">
        <f>M211 - K212</f>
        <v>0</v>
      </c>
      <c r="O212">
        <f>SIZE_M2 * F212</f>
        <v>0</v>
      </c>
      <c r="P212">
        <f>L212 * F212</f>
        <v>0</v>
      </c>
      <c r="Q212">
        <f>O212 / (1+INF_A)^(A212-1)</f>
        <v>0</v>
      </c>
      <c r="R212">
        <f>Q211 + K212</f>
        <v>0</v>
      </c>
      <c r="S212">
        <f>INT((A212-1)/12)+1</f>
        <v>0</v>
      </c>
    </row>
    <row r="213" spans="1:19">
      <c r="A213">
        <v>212</v>
      </c>
      <c r="B213">
        <f>TEXT(DATEVALUE(START&amp;"-01")+ (ROW()-2),"yyyy-mm")</f>
        <v>0</v>
      </c>
      <c r="C213">
        <f>INDEX(SEASON_FACTORS,MOD(A213-1,12)+1)</f>
        <v>0</v>
      </c>
      <c r="D213">
        <f>INT((A213-1)/12)</f>
        <v>0</v>
      </c>
      <c r="E213">
        <f>COUNTIF(THRESH_ABS,"&lt;="&amp;Q212)</f>
        <v>0</v>
      </c>
      <c r="F213">
        <f>(1+STEP)^(C213+D213)</f>
        <v>0</v>
      </c>
      <c r="G213">
        <f>P0_M2 * (1+INF_A)^(A213-1) * (1+PLUS_A)^(A213-1) * E213</f>
        <v>0</v>
      </c>
      <c r="H213">
        <f>F213 / (1+INF_A)^(A213-1)</f>
        <v>0</v>
      </c>
      <c r="I213">
        <f>F213 / PREF</f>
        <v>0</v>
      </c>
      <c r="J213">
        <f>H213 ^ EPS</f>
        <v>0</v>
      </c>
      <c r="K213">
        <f>THETA * B213 * I213</f>
        <v>0</v>
      </c>
      <c r="L213">
        <f>MIN(M212, J213 * CITY_A)</f>
        <v>0</v>
      </c>
      <c r="M213">
        <f>K213 * SIZE_M2</f>
        <v>0</v>
      </c>
      <c r="N213">
        <f>M212 - K213</f>
        <v>0</v>
      </c>
      <c r="O213">
        <f>SIZE_M2 * F213</f>
        <v>0</v>
      </c>
      <c r="P213">
        <f>L213 * F213</f>
        <v>0</v>
      </c>
      <c r="Q213">
        <f>O213 / (1+INF_A)^(A213-1)</f>
        <v>0</v>
      </c>
      <c r="R213">
        <f>Q212 + K213</f>
        <v>0</v>
      </c>
      <c r="S213">
        <f>INT((A213-1)/12)+1</f>
        <v>0</v>
      </c>
    </row>
    <row r="214" spans="1:19">
      <c r="A214">
        <v>213</v>
      </c>
      <c r="B214">
        <f>TEXT(DATEVALUE(START&amp;"-01")+ (ROW()-2),"yyyy-mm")</f>
        <v>0</v>
      </c>
      <c r="C214">
        <f>INDEX(SEASON_FACTORS,MOD(A214-1,12)+1)</f>
        <v>0</v>
      </c>
      <c r="D214">
        <f>INT((A214-1)/12)</f>
        <v>0</v>
      </c>
      <c r="E214">
        <f>COUNTIF(THRESH_ABS,"&lt;="&amp;Q213)</f>
        <v>0</v>
      </c>
      <c r="F214">
        <f>(1+STEP)^(C214+D214)</f>
        <v>0</v>
      </c>
      <c r="G214">
        <f>P0_M2 * (1+INF_A)^(A214-1) * (1+PLUS_A)^(A214-1) * E214</f>
        <v>0</v>
      </c>
      <c r="H214">
        <f>F214 / (1+INF_A)^(A214-1)</f>
        <v>0</v>
      </c>
      <c r="I214">
        <f>F214 / PREF</f>
        <v>0</v>
      </c>
      <c r="J214">
        <f>H214 ^ EPS</f>
        <v>0</v>
      </c>
      <c r="K214">
        <f>THETA * B214 * I214</f>
        <v>0</v>
      </c>
      <c r="L214">
        <f>MIN(M213, J214 * CITY_A)</f>
        <v>0</v>
      </c>
      <c r="M214">
        <f>K214 * SIZE_M2</f>
        <v>0</v>
      </c>
      <c r="N214">
        <f>M213 - K214</f>
        <v>0</v>
      </c>
      <c r="O214">
        <f>SIZE_M2 * F214</f>
        <v>0</v>
      </c>
      <c r="P214">
        <f>L214 * F214</f>
        <v>0</v>
      </c>
      <c r="Q214">
        <f>O214 / (1+INF_A)^(A214-1)</f>
        <v>0</v>
      </c>
      <c r="R214">
        <f>Q213 + K214</f>
        <v>0</v>
      </c>
      <c r="S214">
        <f>INT((A214-1)/12)+1</f>
        <v>0</v>
      </c>
    </row>
    <row r="215" spans="1:19">
      <c r="A215">
        <v>214</v>
      </c>
      <c r="B215">
        <f>TEXT(DATEVALUE(START&amp;"-01")+ (ROW()-2),"yyyy-mm")</f>
        <v>0</v>
      </c>
      <c r="C215">
        <f>INDEX(SEASON_FACTORS,MOD(A215-1,12)+1)</f>
        <v>0</v>
      </c>
      <c r="D215">
        <f>INT((A215-1)/12)</f>
        <v>0</v>
      </c>
      <c r="E215">
        <f>COUNTIF(THRESH_ABS,"&lt;="&amp;Q214)</f>
        <v>0</v>
      </c>
      <c r="F215">
        <f>(1+STEP)^(C215+D215)</f>
        <v>0</v>
      </c>
      <c r="G215">
        <f>P0_M2 * (1+INF_A)^(A215-1) * (1+PLUS_A)^(A215-1) * E215</f>
        <v>0</v>
      </c>
      <c r="H215">
        <f>F215 / (1+INF_A)^(A215-1)</f>
        <v>0</v>
      </c>
      <c r="I215">
        <f>F215 / PREF</f>
        <v>0</v>
      </c>
      <c r="J215">
        <f>H215 ^ EPS</f>
        <v>0</v>
      </c>
      <c r="K215">
        <f>THETA * B215 * I215</f>
        <v>0</v>
      </c>
      <c r="L215">
        <f>MIN(M214, J215 * CITY_A)</f>
        <v>0</v>
      </c>
      <c r="M215">
        <f>K215 * SIZE_M2</f>
        <v>0</v>
      </c>
      <c r="N215">
        <f>M214 - K215</f>
        <v>0</v>
      </c>
      <c r="O215">
        <f>SIZE_M2 * F215</f>
        <v>0</v>
      </c>
      <c r="P215">
        <f>L215 * F215</f>
        <v>0</v>
      </c>
      <c r="Q215">
        <f>O215 / (1+INF_A)^(A215-1)</f>
        <v>0</v>
      </c>
      <c r="R215">
        <f>Q214 + K215</f>
        <v>0</v>
      </c>
      <c r="S215">
        <f>INT((A215-1)/12)+1</f>
        <v>0</v>
      </c>
    </row>
    <row r="216" spans="1:19">
      <c r="A216">
        <v>215</v>
      </c>
      <c r="B216">
        <f>TEXT(DATEVALUE(START&amp;"-01")+ (ROW()-2),"yyyy-mm")</f>
        <v>0</v>
      </c>
      <c r="C216">
        <f>INDEX(SEASON_FACTORS,MOD(A216-1,12)+1)</f>
        <v>0</v>
      </c>
      <c r="D216">
        <f>INT((A216-1)/12)</f>
        <v>0</v>
      </c>
      <c r="E216">
        <f>COUNTIF(THRESH_ABS,"&lt;="&amp;Q215)</f>
        <v>0</v>
      </c>
      <c r="F216">
        <f>(1+STEP)^(C216+D216)</f>
        <v>0</v>
      </c>
      <c r="G216">
        <f>P0_M2 * (1+INF_A)^(A216-1) * (1+PLUS_A)^(A216-1) * E216</f>
        <v>0</v>
      </c>
      <c r="H216">
        <f>F216 / (1+INF_A)^(A216-1)</f>
        <v>0</v>
      </c>
      <c r="I216">
        <f>F216 / PREF</f>
        <v>0</v>
      </c>
      <c r="J216">
        <f>H216 ^ EPS</f>
        <v>0</v>
      </c>
      <c r="K216">
        <f>THETA * B216 * I216</f>
        <v>0</v>
      </c>
      <c r="L216">
        <f>MIN(M215, J216 * CITY_A)</f>
        <v>0</v>
      </c>
      <c r="M216">
        <f>K216 * SIZE_M2</f>
        <v>0</v>
      </c>
      <c r="N216">
        <f>M215 - K216</f>
        <v>0</v>
      </c>
      <c r="O216">
        <f>SIZE_M2 * F216</f>
        <v>0</v>
      </c>
      <c r="P216">
        <f>L216 * F216</f>
        <v>0</v>
      </c>
      <c r="Q216">
        <f>O216 / (1+INF_A)^(A216-1)</f>
        <v>0</v>
      </c>
      <c r="R216">
        <f>Q215 + K216</f>
        <v>0</v>
      </c>
      <c r="S216">
        <f>INT((A216-1)/12)+1</f>
        <v>0</v>
      </c>
    </row>
    <row r="217" spans="1:19">
      <c r="A217">
        <v>216</v>
      </c>
      <c r="B217">
        <f>TEXT(DATEVALUE(START&amp;"-01")+ (ROW()-2),"yyyy-mm")</f>
        <v>0</v>
      </c>
      <c r="C217">
        <f>INDEX(SEASON_FACTORS,MOD(A217-1,12)+1)</f>
        <v>0</v>
      </c>
      <c r="D217">
        <f>INT((A217-1)/12)</f>
        <v>0</v>
      </c>
      <c r="E217">
        <f>COUNTIF(THRESH_ABS,"&lt;="&amp;Q216)</f>
        <v>0</v>
      </c>
      <c r="F217">
        <f>(1+STEP)^(C217+D217)</f>
        <v>0</v>
      </c>
      <c r="G217">
        <f>P0_M2 * (1+INF_A)^(A217-1) * (1+PLUS_A)^(A217-1) * E217</f>
        <v>0</v>
      </c>
      <c r="H217">
        <f>F217 / (1+INF_A)^(A217-1)</f>
        <v>0</v>
      </c>
      <c r="I217">
        <f>F217 / PREF</f>
        <v>0</v>
      </c>
      <c r="J217">
        <f>H217 ^ EPS</f>
        <v>0</v>
      </c>
      <c r="K217">
        <f>THETA * B217 * I217</f>
        <v>0</v>
      </c>
      <c r="L217">
        <f>MIN(M216, J217 * CITY_A)</f>
        <v>0</v>
      </c>
      <c r="M217">
        <f>K217 * SIZE_M2</f>
        <v>0</v>
      </c>
      <c r="N217">
        <f>M216 - K217</f>
        <v>0</v>
      </c>
      <c r="O217">
        <f>SIZE_M2 * F217</f>
        <v>0</v>
      </c>
      <c r="P217">
        <f>L217 * F217</f>
        <v>0</v>
      </c>
      <c r="Q217">
        <f>O217 / (1+INF_A)^(A217-1)</f>
        <v>0</v>
      </c>
      <c r="R217">
        <f>Q216 + K217</f>
        <v>0</v>
      </c>
      <c r="S217">
        <f>INT((A217-1)/12)+1</f>
        <v>0</v>
      </c>
    </row>
    <row r="218" spans="1:19">
      <c r="A218">
        <v>217</v>
      </c>
      <c r="B218">
        <f>TEXT(DATEVALUE(START&amp;"-01")+ (ROW()-2),"yyyy-mm")</f>
        <v>0</v>
      </c>
      <c r="C218">
        <f>INDEX(SEASON_FACTORS,MOD(A218-1,12)+1)</f>
        <v>0</v>
      </c>
      <c r="D218">
        <f>INT((A218-1)/12)</f>
        <v>0</v>
      </c>
      <c r="E218">
        <f>COUNTIF(THRESH_ABS,"&lt;="&amp;Q217)</f>
        <v>0</v>
      </c>
      <c r="F218">
        <f>(1+STEP)^(C218+D218)</f>
        <v>0</v>
      </c>
      <c r="G218">
        <f>P0_M2 * (1+INF_A)^(A218-1) * (1+PLUS_A)^(A218-1) * E218</f>
        <v>0</v>
      </c>
      <c r="H218">
        <f>F218 / (1+INF_A)^(A218-1)</f>
        <v>0</v>
      </c>
      <c r="I218">
        <f>F218 / PREF</f>
        <v>0</v>
      </c>
      <c r="J218">
        <f>H218 ^ EPS</f>
        <v>0</v>
      </c>
      <c r="K218">
        <f>THETA * B218 * I218</f>
        <v>0</v>
      </c>
      <c r="L218">
        <f>MIN(M217, J218 * CITY_A)</f>
        <v>0</v>
      </c>
      <c r="M218">
        <f>K218 * SIZE_M2</f>
        <v>0</v>
      </c>
      <c r="N218">
        <f>M217 - K218</f>
        <v>0</v>
      </c>
      <c r="O218">
        <f>SIZE_M2 * F218</f>
        <v>0</v>
      </c>
      <c r="P218">
        <f>L218 * F218</f>
        <v>0</v>
      </c>
      <c r="Q218">
        <f>O218 / (1+INF_A)^(A218-1)</f>
        <v>0</v>
      </c>
      <c r="R218">
        <f>Q217 + K218</f>
        <v>0</v>
      </c>
      <c r="S218">
        <f>INT((A218-1)/12)+1</f>
        <v>0</v>
      </c>
    </row>
    <row r="219" spans="1:19">
      <c r="A219">
        <v>218</v>
      </c>
      <c r="B219">
        <f>TEXT(DATEVALUE(START&amp;"-01")+ (ROW()-2),"yyyy-mm")</f>
        <v>0</v>
      </c>
      <c r="C219">
        <f>INDEX(SEASON_FACTORS,MOD(A219-1,12)+1)</f>
        <v>0</v>
      </c>
      <c r="D219">
        <f>INT((A219-1)/12)</f>
        <v>0</v>
      </c>
      <c r="E219">
        <f>COUNTIF(THRESH_ABS,"&lt;="&amp;Q218)</f>
        <v>0</v>
      </c>
      <c r="F219">
        <f>(1+STEP)^(C219+D219)</f>
        <v>0</v>
      </c>
      <c r="G219">
        <f>P0_M2 * (1+INF_A)^(A219-1) * (1+PLUS_A)^(A219-1) * E219</f>
        <v>0</v>
      </c>
      <c r="H219">
        <f>F219 / (1+INF_A)^(A219-1)</f>
        <v>0</v>
      </c>
      <c r="I219">
        <f>F219 / PREF</f>
        <v>0</v>
      </c>
      <c r="J219">
        <f>H219 ^ EPS</f>
        <v>0</v>
      </c>
      <c r="K219">
        <f>THETA * B219 * I219</f>
        <v>0</v>
      </c>
      <c r="L219">
        <f>MIN(M218, J219 * CITY_A)</f>
        <v>0</v>
      </c>
      <c r="M219">
        <f>K219 * SIZE_M2</f>
        <v>0</v>
      </c>
      <c r="N219">
        <f>M218 - K219</f>
        <v>0</v>
      </c>
      <c r="O219">
        <f>SIZE_M2 * F219</f>
        <v>0</v>
      </c>
      <c r="P219">
        <f>L219 * F219</f>
        <v>0</v>
      </c>
      <c r="Q219">
        <f>O219 / (1+INF_A)^(A219-1)</f>
        <v>0</v>
      </c>
      <c r="R219">
        <f>Q218 + K219</f>
        <v>0</v>
      </c>
      <c r="S219">
        <f>INT((A219-1)/12)+1</f>
        <v>0</v>
      </c>
    </row>
    <row r="220" spans="1:19">
      <c r="A220">
        <v>219</v>
      </c>
      <c r="B220">
        <f>TEXT(DATEVALUE(START&amp;"-01")+ (ROW()-2),"yyyy-mm")</f>
        <v>0</v>
      </c>
      <c r="C220">
        <f>INDEX(SEASON_FACTORS,MOD(A220-1,12)+1)</f>
        <v>0</v>
      </c>
      <c r="D220">
        <f>INT((A220-1)/12)</f>
        <v>0</v>
      </c>
      <c r="E220">
        <f>COUNTIF(THRESH_ABS,"&lt;="&amp;Q219)</f>
        <v>0</v>
      </c>
      <c r="F220">
        <f>(1+STEP)^(C220+D220)</f>
        <v>0</v>
      </c>
      <c r="G220">
        <f>P0_M2 * (1+INF_A)^(A220-1) * (1+PLUS_A)^(A220-1) * E220</f>
        <v>0</v>
      </c>
      <c r="H220">
        <f>F220 / (1+INF_A)^(A220-1)</f>
        <v>0</v>
      </c>
      <c r="I220">
        <f>F220 / PREF</f>
        <v>0</v>
      </c>
      <c r="J220">
        <f>H220 ^ EPS</f>
        <v>0</v>
      </c>
      <c r="K220">
        <f>THETA * B220 * I220</f>
        <v>0</v>
      </c>
      <c r="L220">
        <f>MIN(M219, J220 * CITY_A)</f>
        <v>0</v>
      </c>
      <c r="M220">
        <f>K220 * SIZE_M2</f>
        <v>0</v>
      </c>
      <c r="N220">
        <f>M219 - K220</f>
        <v>0</v>
      </c>
      <c r="O220">
        <f>SIZE_M2 * F220</f>
        <v>0</v>
      </c>
      <c r="P220">
        <f>L220 * F220</f>
        <v>0</v>
      </c>
      <c r="Q220">
        <f>O220 / (1+INF_A)^(A220-1)</f>
        <v>0</v>
      </c>
      <c r="R220">
        <f>Q219 + K220</f>
        <v>0</v>
      </c>
      <c r="S220">
        <f>INT((A220-1)/12)+1</f>
        <v>0</v>
      </c>
    </row>
    <row r="221" spans="1:19">
      <c r="A221">
        <v>220</v>
      </c>
      <c r="B221">
        <f>TEXT(DATEVALUE(START&amp;"-01")+ (ROW()-2),"yyyy-mm")</f>
        <v>0</v>
      </c>
      <c r="C221">
        <f>INDEX(SEASON_FACTORS,MOD(A221-1,12)+1)</f>
        <v>0</v>
      </c>
      <c r="D221">
        <f>INT((A221-1)/12)</f>
        <v>0</v>
      </c>
      <c r="E221">
        <f>COUNTIF(THRESH_ABS,"&lt;="&amp;Q220)</f>
        <v>0</v>
      </c>
      <c r="F221">
        <f>(1+STEP)^(C221+D221)</f>
        <v>0</v>
      </c>
      <c r="G221">
        <f>P0_M2 * (1+INF_A)^(A221-1) * (1+PLUS_A)^(A221-1) * E221</f>
        <v>0</v>
      </c>
      <c r="H221">
        <f>F221 / (1+INF_A)^(A221-1)</f>
        <v>0</v>
      </c>
      <c r="I221">
        <f>F221 / PREF</f>
        <v>0</v>
      </c>
      <c r="J221">
        <f>H221 ^ EPS</f>
        <v>0</v>
      </c>
      <c r="K221">
        <f>THETA * B221 * I221</f>
        <v>0</v>
      </c>
      <c r="L221">
        <f>MIN(M220, J221 * CITY_A)</f>
        <v>0</v>
      </c>
      <c r="M221">
        <f>K221 * SIZE_M2</f>
        <v>0</v>
      </c>
      <c r="N221">
        <f>M220 - K221</f>
        <v>0</v>
      </c>
      <c r="O221">
        <f>SIZE_M2 * F221</f>
        <v>0</v>
      </c>
      <c r="P221">
        <f>L221 * F221</f>
        <v>0</v>
      </c>
      <c r="Q221">
        <f>O221 / (1+INF_A)^(A221-1)</f>
        <v>0</v>
      </c>
      <c r="R221">
        <f>Q220 + K221</f>
        <v>0</v>
      </c>
      <c r="S221">
        <f>INT((A221-1)/12)+1</f>
        <v>0</v>
      </c>
    </row>
    <row r="222" spans="1:19">
      <c r="A222">
        <v>221</v>
      </c>
      <c r="B222">
        <f>TEXT(DATEVALUE(START&amp;"-01")+ (ROW()-2),"yyyy-mm")</f>
        <v>0</v>
      </c>
      <c r="C222">
        <f>INDEX(SEASON_FACTORS,MOD(A222-1,12)+1)</f>
        <v>0</v>
      </c>
      <c r="D222">
        <f>INT((A222-1)/12)</f>
        <v>0</v>
      </c>
      <c r="E222">
        <f>COUNTIF(THRESH_ABS,"&lt;="&amp;Q221)</f>
        <v>0</v>
      </c>
      <c r="F222">
        <f>(1+STEP)^(C222+D222)</f>
        <v>0</v>
      </c>
      <c r="G222">
        <f>P0_M2 * (1+INF_A)^(A222-1) * (1+PLUS_A)^(A222-1) * E222</f>
        <v>0</v>
      </c>
      <c r="H222">
        <f>F222 / (1+INF_A)^(A222-1)</f>
        <v>0</v>
      </c>
      <c r="I222">
        <f>F222 / PREF</f>
        <v>0</v>
      </c>
      <c r="J222">
        <f>H222 ^ EPS</f>
        <v>0</v>
      </c>
      <c r="K222">
        <f>THETA * B222 * I222</f>
        <v>0</v>
      </c>
      <c r="L222">
        <f>MIN(M221, J222 * CITY_A)</f>
        <v>0</v>
      </c>
      <c r="M222">
        <f>K222 * SIZE_M2</f>
        <v>0</v>
      </c>
      <c r="N222">
        <f>M221 - K222</f>
        <v>0</v>
      </c>
      <c r="O222">
        <f>SIZE_M2 * F222</f>
        <v>0</v>
      </c>
      <c r="P222">
        <f>L222 * F222</f>
        <v>0</v>
      </c>
      <c r="Q222">
        <f>O222 / (1+INF_A)^(A222-1)</f>
        <v>0</v>
      </c>
      <c r="R222">
        <f>Q221 + K222</f>
        <v>0</v>
      </c>
      <c r="S222">
        <f>INT((A222-1)/12)+1</f>
        <v>0</v>
      </c>
    </row>
    <row r="223" spans="1:19">
      <c r="A223">
        <v>222</v>
      </c>
      <c r="B223">
        <f>TEXT(DATEVALUE(START&amp;"-01")+ (ROW()-2),"yyyy-mm")</f>
        <v>0</v>
      </c>
      <c r="C223">
        <f>INDEX(SEASON_FACTORS,MOD(A223-1,12)+1)</f>
        <v>0</v>
      </c>
      <c r="D223">
        <f>INT((A223-1)/12)</f>
        <v>0</v>
      </c>
      <c r="E223">
        <f>COUNTIF(THRESH_ABS,"&lt;="&amp;Q222)</f>
        <v>0</v>
      </c>
      <c r="F223">
        <f>(1+STEP)^(C223+D223)</f>
        <v>0</v>
      </c>
      <c r="G223">
        <f>P0_M2 * (1+INF_A)^(A223-1) * (1+PLUS_A)^(A223-1) * E223</f>
        <v>0</v>
      </c>
      <c r="H223">
        <f>F223 / (1+INF_A)^(A223-1)</f>
        <v>0</v>
      </c>
      <c r="I223">
        <f>F223 / PREF</f>
        <v>0</v>
      </c>
      <c r="J223">
        <f>H223 ^ EPS</f>
        <v>0</v>
      </c>
      <c r="K223">
        <f>THETA * B223 * I223</f>
        <v>0</v>
      </c>
      <c r="L223">
        <f>MIN(M222, J223 * CITY_A)</f>
        <v>0</v>
      </c>
      <c r="M223">
        <f>K223 * SIZE_M2</f>
        <v>0</v>
      </c>
      <c r="N223">
        <f>M222 - K223</f>
        <v>0</v>
      </c>
      <c r="O223">
        <f>SIZE_M2 * F223</f>
        <v>0</v>
      </c>
      <c r="P223">
        <f>L223 * F223</f>
        <v>0</v>
      </c>
      <c r="Q223">
        <f>O223 / (1+INF_A)^(A223-1)</f>
        <v>0</v>
      </c>
      <c r="R223">
        <f>Q222 + K223</f>
        <v>0</v>
      </c>
      <c r="S223">
        <f>INT((A223-1)/12)+1</f>
        <v>0</v>
      </c>
    </row>
    <row r="224" spans="1:19">
      <c r="A224">
        <v>223</v>
      </c>
      <c r="B224">
        <f>TEXT(DATEVALUE(START&amp;"-01")+ (ROW()-2),"yyyy-mm")</f>
        <v>0</v>
      </c>
      <c r="C224">
        <f>INDEX(SEASON_FACTORS,MOD(A224-1,12)+1)</f>
        <v>0</v>
      </c>
      <c r="D224">
        <f>INT((A224-1)/12)</f>
        <v>0</v>
      </c>
      <c r="E224">
        <f>COUNTIF(THRESH_ABS,"&lt;="&amp;Q223)</f>
        <v>0</v>
      </c>
      <c r="F224">
        <f>(1+STEP)^(C224+D224)</f>
        <v>0</v>
      </c>
      <c r="G224">
        <f>P0_M2 * (1+INF_A)^(A224-1) * (1+PLUS_A)^(A224-1) * E224</f>
        <v>0</v>
      </c>
      <c r="H224">
        <f>F224 / (1+INF_A)^(A224-1)</f>
        <v>0</v>
      </c>
      <c r="I224">
        <f>F224 / PREF</f>
        <v>0</v>
      </c>
      <c r="J224">
        <f>H224 ^ EPS</f>
        <v>0</v>
      </c>
      <c r="K224">
        <f>THETA * B224 * I224</f>
        <v>0</v>
      </c>
      <c r="L224">
        <f>MIN(M223, J224 * CITY_A)</f>
        <v>0</v>
      </c>
      <c r="M224">
        <f>K224 * SIZE_M2</f>
        <v>0</v>
      </c>
      <c r="N224">
        <f>M223 - K224</f>
        <v>0</v>
      </c>
      <c r="O224">
        <f>SIZE_M2 * F224</f>
        <v>0</v>
      </c>
      <c r="P224">
        <f>L224 * F224</f>
        <v>0</v>
      </c>
      <c r="Q224">
        <f>O224 / (1+INF_A)^(A224-1)</f>
        <v>0</v>
      </c>
      <c r="R224">
        <f>Q223 + K224</f>
        <v>0</v>
      </c>
      <c r="S224">
        <f>INT((A224-1)/12)+1</f>
        <v>0</v>
      </c>
    </row>
    <row r="225" spans="1:19">
      <c r="A225">
        <v>224</v>
      </c>
      <c r="B225">
        <f>TEXT(DATEVALUE(START&amp;"-01")+ (ROW()-2),"yyyy-mm")</f>
        <v>0</v>
      </c>
      <c r="C225">
        <f>INDEX(SEASON_FACTORS,MOD(A225-1,12)+1)</f>
        <v>0</v>
      </c>
      <c r="D225">
        <f>INT((A225-1)/12)</f>
        <v>0</v>
      </c>
      <c r="E225">
        <f>COUNTIF(THRESH_ABS,"&lt;="&amp;Q224)</f>
        <v>0</v>
      </c>
      <c r="F225">
        <f>(1+STEP)^(C225+D225)</f>
        <v>0</v>
      </c>
      <c r="G225">
        <f>P0_M2 * (1+INF_A)^(A225-1) * (1+PLUS_A)^(A225-1) * E225</f>
        <v>0</v>
      </c>
      <c r="H225">
        <f>F225 / (1+INF_A)^(A225-1)</f>
        <v>0</v>
      </c>
      <c r="I225">
        <f>F225 / PREF</f>
        <v>0</v>
      </c>
      <c r="J225">
        <f>H225 ^ EPS</f>
        <v>0</v>
      </c>
      <c r="K225">
        <f>THETA * B225 * I225</f>
        <v>0</v>
      </c>
      <c r="L225">
        <f>MIN(M224, J225 * CITY_A)</f>
        <v>0</v>
      </c>
      <c r="M225">
        <f>K225 * SIZE_M2</f>
        <v>0</v>
      </c>
      <c r="N225">
        <f>M224 - K225</f>
        <v>0</v>
      </c>
      <c r="O225">
        <f>SIZE_M2 * F225</f>
        <v>0</v>
      </c>
      <c r="P225">
        <f>L225 * F225</f>
        <v>0</v>
      </c>
      <c r="Q225">
        <f>O225 / (1+INF_A)^(A225-1)</f>
        <v>0</v>
      </c>
      <c r="R225">
        <f>Q224 + K225</f>
        <v>0</v>
      </c>
      <c r="S225">
        <f>INT((A225-1)/12)+1</f>
        <v>0</v>
      </c>
    </row>
    <row r="226" spans="1:19">
      <c r="A226">
        <v>225</v>
      </c>
      <c r="B226">
        <f>TEXT(DATEVALUE(START&amp;"-01")+ (ROW()-2),"yyyy-mm")</f>
        <v>0</v>
      </c>
      <c r="C226">
        <f>INDEX(SEASON_FACTORS,MOD(A226-1,12)+1)</f>
        <v>0</v>
      </c>
      <c r="D226">
        <f>INT((A226-1)/12)</f>
        <v>0</v>
      </c>
      <c r="E226">
        <f>COUNTIF(THRESH_ABS,"&lt;="&amp;Q225)</f>
        <v>0</v>
      </c>
      <c r="F226">
        <f>(1+STEP)^(C226+D226)</f>
        <v>0</v>
      </c>
      <c r="G226">
        <f>P0_M2 * (1+INF_A)^(A226-1) * (1+PLUS_A)^(A226-1) * E226</f>
        <v>0</v>
      </c>
      <c r="H226">
        <f>F226 / (1+INF_A)^(A226-1)</f>
        <v>0</v>
      </c>
      <c r="I226">
        <f>F226 / PREF</f>
        <v>0</v>
      </c>
      <c r="J226">
        <f>H226 ^ EPS</f>
        <v>0</v>
      </c>
      <c r="K226">
        <f>THETA * B226 * I226</f>
        <v>0</v>
      </c>
      <c r="L226">
        <f>MIN(M225, J226 * CITY_A)</f>
        <v>0</v>
      </c>
      <c r="M226">
        <f>K226 * SIZE_M2</f>
        <v>0</v>
      </c>
      <c r="N226">
        <f>M225 - K226</f>
        <v>0</v>
      </c>
      <c r="O226">
        <f>SIZE_M2 * F226</f>
        <v>0</v>
      </c>
      <c r="P226">
        <f>L226 * F226</f>
        <v>0</v>
      </c>
      <c r="Q226">
        <f>O226 / (1+INF_A)^(A226-1)</f>
        <v>0</v>
      </c>
      <c r="R226">
        <f>Q225 + K226</f>
        <v>0</v>
      </c>
      <c r="S226">
        <f>INT((A226-1)/12)+1</f>
        <v>0</v>
      </c>
    </row>
    <row r="227" spans="1:19">
      <c r="A227">
        <v>226</v>
      </c>
      <c r="B227">
        <f>TEXT(DATEVALUE(START&amp;"-01")+ (ROW()-2),"yyyy-mm")</f>
        <v>0</v>
      </c>
      <c r="C227">
        <f>INDEX(SEASON_FACTORS,MOD(A227-1,12)+1)</f>
        <v>0</v>
      </c>
      <c r="D227">
        <f>INT((A227-1)/12)</f>
        <v>0</v>
      </c>
      <c r="E227">
        <f>COUNTIF(THRESH_ABS,"&lt;="&amp;Q226)</f>
        <v>0</v>
      </c>
      <c r="F227">
        <f>(1+STEP)^(C227+D227)</f>
        <v>0</v>
      </c>
      <c r="G227">
        <f>P0_M2 * (1+INF_A)^(A227-1) * (1+PLUS_A)^(A227-1) * E227</f>
        <v>0</v>
      </c>
      <c r="H227">
        <f>F227 / (1+INF_A)^(A227-1)</f>
        <v>0</v>
      </c>
      <c r="I227">
        <f>F227 / PREF</f>
        <v>0</v>
      </c>
      <c r="J227">
        <f>H227 ^ EPS</f>
        <v>0</v>
      </c>
      <c r="K227">
        <f>THETA * B227 * I227</f>
        <v>0</v>
      </c>
      <c r="L227">
        <f>MIN(M226, J227 * CITY_A)</f>
        <v>0</v>
      </c>
      <c r="M227">
        <f>K227 * SIZE_M2</f>
        <v>0</v>
      </c>
      <c r="N227">
        <f>M226 - K227</f>
        <v>0</v>
      </c>
      <c r="O227">
        <f>SIZE_M2 * F227</f>
        <v>0</v>
      </c>
      <c r="P227">
        <f>L227 * F227</f>
        <v>0</v>
      </c>
      <c r="Q227">
        <f>O227 / (1+INF_A)^(A227-1)</f>
        <v>0</v>
      </c>
      <c r="R227">
        <f>Q226 + K227</f>
        <v>0</v>
      </c>
      <c r="S227">
        <f>INT((A227-1)/12)+1</f>
        <v>0</v>
      </c>
    </row>
    <row r="228" spans="1:19">
      <c r="A228">
        <v>227</v>
      </c>
      <c r="B228">
        <f>TEXT(DATEVALUE(START&amp;"-01")+ (ROW()-2),"yyyy-mm")</f>
        <v>0</v>
      </c>
      <c r="C228">
        <f>INDEX(SEASON_FACTORS,MOD(A228-1,12)+1)</f>
        <v>0</v>
      </c>
      <c r="D228">
        <f>INT((A228-1)/12)</f>
        <v>0</v>
      </c>
      <c r="E228">
        <f>COUNTIF(THRESH_ABS,"&lt;="&amp;Q227)</f>
        <v>0</v>
      </c>
      <c r="F228">
        <f>(1+STEP)^(C228+D228)</f>
        <v>0</v>
      </c>
      <c r="G228">
        <f>P0_M2 * (1+INF_A)^(A228-1) * (1+PLUS_A)^(A228-1) * E228</f>
        <v>0</v>
      </c>
      <c r="H228">
        <f>F228 / (1+INF_A)^(A228-1)</f>
        <v>0</v>
      </c>
      <c r="I228">
        <f>F228 / PREF</f>
        <v>0</v>
      </c>
      <c r="J228">
        <f>H228 ^ EPS</f>
        <v>0</v>
      </c>
      <c r="K228">
        <f>THETA * B228 * I228</f>
        <v>0</v>
      </c>
      <c r="L228">
        <f>MIN(M227, J228 * CITY_A)</f>
        <v>0</v>
      </c>
      <c r="M228">
        <f>K228 * SIZE_M2</f>
        <v>0</v>
      </c>
      <c r="N228">
        <f>M227 - K228</f>
        <v>0</v>
      </c>
      <c r="O228">
        <f>SIZE_M2 * F228</f>
        <v>0</v>
      </c>
      <c r="P228">
        <f>L228 * F228</f>
        <v>0</v>
      </c>
      <c r="Q228">
        <f>O228 / (1+INF_A)^(A228-1)</f>
        <v>0</v>
      </c>
      <c r="R228">
        <f>Q227 + K228</f>
        <v>0</v>
      </c>
      <c r="S228">
        <f>INT((A228-1)/12)+1</f>
        <v>0</v>
      </c>
    </row>
    <row r="229" spans="1:19">
      <c r="A229">
        <v>228</v>
      </c>
      <c r="B229">
        <f>TEXT(DATEVALUE(START&amp;"-01")+ (ROW()-2),"yyyy-mm")</f>
        <v>0</v>
      </c>
      <c r="C229">
        <f>INDEX(SEASON_FACTORS,MOD(A229-1,12)+1)</f>
        <v>0</v>
      </c>
      <c r="D229">
        <f>INT((A229-1)/12)</f>
        <v>0</v>
      </c>
      <c r="E229">
        <f>COUNTIF(THRESH_ABS,"&lt;="&amp;Q228)</f>
        <v>0</v>
      </c>
      <c r="F229">
        <f>(1+STEP)^(C229+D229)</f>
        <v>0</v>
      </c>
      <c r="G229">
        <f>P0_M2 * (1+INF_A)^(A229-1) * (1+PLUS_A)^(A229-1) * E229</f>
        <v>0</v>
      </c>
      <c r="H229">
        <f>F229 / (1+INF_A)^(A229-1)</f>
        <v>0</v>
      </c>
      <c r="I229">
        <f>F229 / PREF</f>
        <v>0</v>
      </c>
      <c r="J229">
        <f>H229 ^ EPS</f>
        <v>0</v>
      </c>
      <c r="K229">
        <f>THETA * B229 * I229</f>
        <v>0</v>
      </c>
      <c r="L229">
        <f>MIN(M228, J229 * CITY_A)</f>
        <v>0</v>
      </c>
      <c r="M229">
        <f>K229 * SIZE_M2</f>
        <v>0</v>
      </c>
      <c r="N229">
        <f>M228 - K229</f>
        <v>0</v>
      </c>
      <c r="O229">
        <f>SIZE_M2 * F229</f>
        <v>0</v>
      </c>
      <c r="P229">
        <f>L229 * F229</f>
        <v>0</v>
      </c>
      <c r="Q229">
        <f>O229 / (1+INF_A)^(A229-1)</f>
        <v>0</v>
      </c>
      <c r="R229">
        <f>Q228 + K229</f>
        <v>0</v>
      </c>
      <c r="S229">
        <f>INT((A229-1)/12)+1</f>
        <v>0</v>
      </c>
    </row>
    <row r="230" spans="1:19">
      <c r="A230">
        <v>229</v>
      </c>
      <c r="B230">
        <f>TEXT(DATEVALUE(START&amp;"-01")+ (ROW()-2),"yyyy-mm")</f>
        <v>0</v>
      </c>
      <c r="C230">
        <f>INDEX(SEASON_FACTORS,MOD(A230-1,12)+1)</f>
        <v>0</v>
      </c>
      <c r="D230">
        <f>INT((A230-1)/12)</f>
        <v>0</v>
      </c>
      <c r="E230">
        <f>COUNTIF(THRESH_ABS,"&lt;="&amp;Q229)</f>
        <v>0</v>
      </c>
      <c r="F230">
        <f>(1+STEP)^(C230+D230)</f>
        <v>0</v>
      </c>
      <c r="G230">
        <f>P0_M2 * (1+INF_A)^(A230-1) * (1+PLUS_A)^(A230-1) * E230</f>
        <v>0</v>
      </c>
      <c r="H230">
        <f>F230 / (1+INF_A)^(A230-1)</f>
        <v>0</v>
      </c>
      <c r="I230">
        <f>F230 / PREF</f>
        <v>0</v>
      </c>
      <c r="J230">
        <f>H230 ^ EPS</f>
        <v>0</v>
      </c>
      <c r="K230">
        <f>THETA * B230 * I230</f>
        <v>0</v>
      </c>
      <c r="L230">
        <f>MIN(M229, J230 * CITY_A)</f>
        <v>0</v>
      </c>
      <c r="M230">
        <f>K230 * SIZE_M2</f>
        <v>0</v>
      </c>
      <c r="N230">
        <f>M229 - K230</f>
        <v>0</v>
      </c>
      <c r="O230">
        <f>SIZE_M2 * F230</f>
        <v>0</v>
      </c>
      <c r="P230">
        <f>L230 * F230</f>
        <v>0</v>
      </c>
      <c r="Q230">
        <f>O230 / (1+INF_A)^(A230-1)</f>
        <v>0</v>
      </c>
      <c r="R230">
        <f>Q229 + K230</f>
        <v>0</v>
      </c>
      <c r="S230">
        <f>INT((A230-1)/12)+1</f>
        <v>0</v>
      </c>
    </row>
    <row r="231" spans="1:19">
      <c r="A231">
        <v>230</v>
      </c>
      <c r="B231">
        <f>TEXT(DATEVALUE(START&amp;"-01")+ (ROW()-2),"yyyy-mm")</f>
        <v>0</v>
      </c>
      <c r="C231">
        <f>INDEX(SEASON_FACTORS,MOD(A231-1,12)+1)</f>
        <v>0</v>
      </c>
      <c r="D231">
        <f>INT((A231-1)/12)</f>
        <v>0</v>
      </c>
      <c r="E231">
        <f>COUNTIF(THRESH_ABS,"&lt;="&amp;Q230)</f>
        <v>0</v>
      </c>
      <c r="F231">
        <f>(1+STEP)^(C231+D231)</f>
        <v>0</v>
      </c>
      <c r="G231">
        <f>P0_M2 * (1+INF_A)^(A231-1) * (1+PLUS_A)^(A231-1) * E231</f>
        <v>0</v>
      </c>
      <c r="H231">
        <f>F231 / (1+INF_A)^(A231-1)</f>
        <v>0</v>
      </c>
      <c r="I231">
        <f>F231 / PREF</f>
        <v>0</v>
      </c>
      <c r="J231">
        <f>H231 ^ EPS</f>
        <v>0</v>
      </c>
      <c r="K231">
        <f>THETA * B231 * I231</f>
        <v>0</v>
      </c>
      <c r="L231">
        <f>MIN(M230, J231 * CITY_A)</f>
        <v>0</v>
      </c>
      <c r="M231">
        <f>K231 * SIZE_M2</f>
        <v>0</v>
      </c>
      <c r="N231">
        <f>M230 - K231</f>
        <v>0</v>
      </c>
      <c r="O231">
        <f>SIZE_M2 * F231</f>
        <v>0</v>
      </c>
      <c r="P231">
        <f>L231 * F231</f>
        <v>0</v>
      </c>
      <c r="Q231">
        <f>O231 / (1+INF_A)^(A231-1)</f>
        <v>0</v>
      </c>
      <c r="R231">
        <f>Q230 + K231</f>
        <v>0</v>
      </c>
      <c r="S231">
        <f>INT((A231-1)/12)+1</f>
        <v>0</v>
      </c>
    </row>
    <row r="232" spans="1:19">
      <c r="A232">
        <v>231</v>
      </c>
      <c r="B232">
        <f>TEXT(DATEVALUE(START&amp;"-01")+ (ROW()-2),"yyyy-mm")</f>
        <v>0</v>
      </c>
      <c r="C232">
        <f>INDEX(SEASON_FACTORS,MOD(A232-1,12)+1)</f>
        <v>0</v>
      </c>
      <c r="D232">
        <f>INT((A232-1)/12)</f>
        <v>0</v>
      </c>
      <c r="E232">
        <f>COUNTIF(THRESH_ABS,"&lt;="&amp;Q231)</f>
        <v>0</v>
      </c>
      <c r="F232">
        <f>(1+STEP)^(C232+D232)</f>
        <v>0</v>
      </c>
      <c r="G232">
        <f>P0_M2 * (1+INF_A)^(A232-1) * (1+PLUS_A)^(A232-1) * E232</f>
        <v>0</v>
      </c>
      <c r="H232">
        <f>F232 / (1+INF_A)^(A232-1)</f>
        <v>0</v>
      </c>
      <c r="I232">
        <f>F232 / PREF</f>
        <v>0</v>
      </c>
      <c r="J232">
        <f>H232 ^ EPS</f>
        <v>0</v>
      </c>
      <c r="K232">
        <f>THETA * B232 * I232</f>
        <v>0</v>
      </c>
      <c r="L232">
        <f>MIN(M231, J232 * CITY_A)</f>
        <v>0</v>
      </c>
      <c r="M232">
        <f>K232 * SIZE_M2</f>
        <v>0</v>
      </c>
      <c r="N232">
        <f>M231 - K232</f>
        <v>0</v>
      </c>
      <c r="O232">
        <f>SIZE_M2 * F232</f>
        <v>0</v>
      </c>
      <c r="P232">
        <f>L232 * F232</f>
        <v>0</v>
      </c>
      <c r="Q232">
        <f>O232 / (1+INF_A)^(A232-1)</f>
        <v>0</v>
      </c>
      <c r="R232">
        <f>Q231 + K232</f>
        <v>0</v>
      </c>
      <c r="S232">
        <f>INT((A232-1)/12)+1</f>
        <v>0</v>
      </c>
    </row>
    <row r="233" spans="1:19">
      <c r="A233">
        <v>232</v>
      </c>
      <c r="B233">
        <f>TEXT(DATEVALUE(START&amp;"-01")+ (ROW()-2),"yyyy-mm")</f>
        <v>0</v>
      </c>
      <c r="C233">
        <f>INDEX(SEASON_FACTORS,MOD(A233-1,12)+1)</f>
        <v>0</v>
      </c>
      <c r="D233">
        <f>INT((A233-1)/12)</f>
        <v>0</v>
      </c>
      <c r="E233">
        <f>COUNTIF(THRESH_ABS,"&lt;="&amp;Q232)</f>
        <v>0</v>
      </c>
      <c r="F233">
        <f>(1+STEP)^(C233+D233)</f>
        <v>0</v>
      </c>
      <c r="G233">
        <f>P0_M2 * (1+INF_A)^(A233-1) * (1+PLUS_A)^(A233-1) * E233</f>
        <v>0</v>
      </c>
      <c r="H233">
        <f>F233 / (1+INF_A)^(A233-1)</f>
        <v>0</v>
      </c>
      <c r="I233">
        <f>F233 / PREF</f>
        <v>0</v>
      </c>
      <c r="J233">
        <f>H233 ^ EPS</f>
        <v>0</v>
      </c>
      <c r="K233">
        <f>THETA * B233 * I233</f>
        <v>0</v>
      </c>
      <c r="L233">
        <f>MIN(M232, J233 * CITY_A)</f>
        <v>0</v>
      </c>
      <c r="M233">
        <f>K233 * SIZE_M2</f>
        <v>0</v>
      </c>
      <c r="N233">
        <f>M232 - K233</f>
        <v>0</v>
      </c>
      <c r="O233">
        <f>SIZE_M2 * F233</f>
        <v>0</v>
      </c>
      <c r="P233">
        <f>L233 * F233</f>
        <v>0</v>
      </c>
      <c r="Q233">
        <f>O233 / (1+INF_A)^(A233-1)</f>
        <v>0</v>
      </c>
      <c r="R233">
        <f>Q232 + K233</f>
        <v>0</v>
      </c>
      <c r="S233">
        <f>INT((A233-1)/12)+1</f>
        <v>0</v>
      </c>
    </row>
    <row r="234" spans="1:19">
      <c r="A234">
        <v>233</v>
      </c>
      <c r="B234">
        <f>TEXT(DATEVALUE(START&amp;"-01")+ (ROW()-2),"yyyy-mm")</f>
        <v>0</v>
      </c>
      <c r="C234">
        <f>INDEX(SEASON_FACTORS,MOD(A234-1,12)+1)</f>
        <v>0</v>
      </c>
      <c r="D234">
        <f>INT((A234-1)/12)</f>
        <v>0</v>
      </c>
      <c r="E234">
        <f>COUNTIF(THRESH_ABS,"&lt;="&amp;Q233)</f>
        <v>0</v>
      </c>
      <c r="F234">
        <f>(1+STEP)^(C234+D234)</f>
        <v>0</v>
      </c>
      <c r="G234">
        <f>P0_M2 * (1+INF_A)^(A234-1) * (1+PLUS_A)^(A234-1) * E234</f>
        <v>0</v>
      </c>
      <c r="H234">
        <f>F234 / (1+INF_A)^(A234-1)</f>
        <v>0</v>
      </c>
      <c r="I234">
        <f>F234 / PREF</f>
        <v>0</v>
      </c>
      <c r="J234">
        <f>H234 ^ EPS</f>
        <v>0</v>
      </c>
      <c r="K234">
        <f>THETA * B234 * I234</f>
        <v>0</v>
      </c>
      <c r="L234">
        <f>MIN(M233, J234 * CITY_A)</f>
        <v>0</v>
      </c>
      <c r="M234">
        <f>K234 * SIZE_M2</f>
        <v>0</v>
      </c>
      <c r="N234">
        <f>M233 - K234</f>
        <v>0</v>
      </c>
      <c r="O234">
        <f>SIZE_M2 * F234</f>
        <v>0</v>
      </c>
      <c r="P234">
        <f>L234 * F234</f>
        <v>0</v>
      </c>
      <c r="Q234">
        <f>O234 / (1+INF_A)^(A234-1)</f>
        <v>0</v>
      </c>
      <c r="R234">
        <f>Q233 + K234</f>
        <v>0</v>
      </c>
      <c r="S234">
        <f>INT((A234-1)/12)+1</f>
        <v>0</v>
      </c>
    </row>
    <row r="235" spans="1:19">
      <c r="A235">
        <v>234</v>
      </c>
      <c r="B235">
        <f>TEXT(DATEVALUE(START&amp;"-01")+ (ROW()-2),"yyyy-mm")</f>
        <v>0</v>
      </c>
      <c r="C235">
        <f>INDEX(SEASON_FACTORS,MOD(A235-1,12)+1)</f>
        <v>0</v>
      </c>
      <c r="D235">
        <f>INT((A235-1)/12)</f>
        <v>0</v>
      </c>
      <c r="E235">
        <f>COUNTIF(THRESH_ABS,"&lt;="&amp;Q234)</f>
        <v>0</v>
      </c>
      <c r="F235">
        <f>(1+STEP)^(C235+D235)</f>
        <v>0</v>
      </c>
      <c r="G235">
        <f>P0_M2 * (1+INF_A)^(A235-1) * (1+PLUS_A)^(A235-1) * E235</f>
        <v>0</v>
      </c>
      <c r="H235">
        <f>F235 / (1+INF_A)^(A235-1)</f>
        <v>0</v>
      </c>
      <c r="I235">
        <f>F235 / PREF</f>
        <v>0</v>
      </c>
      <c r="J235">
        <f>H235 ^ EPS</f>
        <v>0</v>
      </c>
      <c r="K235">
        <f>THETA * B235 * I235</f>
        <v>0</v>
      </c>
      <c r="L235">
        <f>MIN(M234, J235 * CITY_A)</f>
        <v>0</v>
      </c>
      <c r="M235">
        <f>K235 * SIZE_M2</f>
        <v>0</v>
      </c>
      <c r="N235">
        <f>M234 - K235</f>
        <v>0</v>
      </c>
      <c r="O235">
        <f>SIZE_M2 * F235</f>
        <v>0</v>
      </c>
      <c r="P235">
        <f>L235 * F235</f>
        <v>0</v>
      </c>
      <c r="Q235">
        <f>O235 / (1+INF_A)^(A235-1)</f>
        <v>0</v>
      </c>
      <c r="R235">
        <f>Q234 + K235</f>
        <v>0</v>
      </c>
      <c r="S235">
        <f>INT((A235-1)/12)+1</f>
        <v>0</v>
      </c>
    </row>
    <row r="236" spans="1:19">
      <c r="A236">
        <v>235</v>
      </c>
      <c r="B236">
        <f>TEXT(DATEVALUE(START&amp;"-01")+ (ROW()-2),"yyyy-mm")</f>
        <v>0</v>
      </c>
      <c r="C236">
        <f>INDEX(SEASON_FACTORS,MOD(A236-1,12)+1)</f>
        <v>0</v>
      </c>
      <c r="D236">
        <f>INT((A236-1)/12)</f>
        <v>0</v>
      </c>
      <c r="E236">
        <f>COUNTIF(THRESH_ABS,"&lt;="&amp;Q235)</f>
        <v>0</v>
      </c>
      <c r="F236">
        <f>(1+STEP)^(C236+D236)</f>
        <v>0</v>
      </c>
      <c r="G236">
        <f>P0_M2 * (1+INF_A)^(A236-1) * (1+PLUS_A)^(A236-1) * E236</f>
        <v>0</v>
      </c>
      <c r="H236">
        <f>F236 / (1+INF_A)^(A236-1)</f>
        <v>0</v>
      </c>
      <c r="I236">
        <f>F236 / PREF</f>
        <v>0</v>
      </c>
      <c r="J236">
        <f>H236 ^ EPS</f>
        <v>0</v>
      </c>
      <c r="K236">
        <f>THETA * B236 * I236</f>
        <v>0</v>
      </c>
      <c r="L236">
        <f>MIN(M235, J236 * CITY_A)</f>
        <v>0</v>
      </c>
      <c r="M236">
        <f>K236 * SIZE_M2</f>
        <v>0</v>
      </c>
      <c r="N236">
        <f>M235 - K236</f>
        <v>0</v>
      </c>
      <c r="O236">
        <f>SIZE_M2 * F236</f>
        <v>0</v>
      </c>
      <c r="P236">
        <f>L236 * F236</f>
        <v>0</v>
      </c>
      <c r="Q236">
        <f>O236 / (1+INF_A)^(A236-1)</f>
        <v>0</v>
      </c>
      <c r="R236">
        <f>Q235 + K236</f>
        <v>0</v>
      </c>
      <c r="S236">
        <f>INT((A236-1)/12)+1</f>
        <v>0</v>
      </c>
    </row>
    <row r="237" spans="1:19">
      <c r="A237">
        <v>236</v>
      </c>
      <c r="B237">
        <f>TEXT(DATEVALUE(START&amp;"-01")+ (ROW()-2),"yyyy-mm")</f>
        <v>0</v>
      </c>
      <c r="C237">
        <f>INDEX(SEASON_FACTORS,MOD(A237-1,12)+1)</f>
        <v>0</v>
      </c>
      <c r="D237">
        <f>INT((A237-1)/12)</f>
        <v>0</v>
      </c>
      <c r="E237">
        <f>COUNTIF(THRESH_ABS,"&lt;="&amp;Q236)</f>
        <v>0</v>
      </c>
      <c r="F237">
        <f>(1+STEP)^(C237+D237)</f>
        <v>0</v>
      </c>
      <c r="G237">
        <f>P0_M2 * (1+INF_A)^(A237-1) * (1+PLUS_A)^(A237-1) * E237</f>
        <v>0</v>
      </c>
      <c r="H237">
        <f>F237 / (1+INF_A)^(A237-1)</f>
        <v>0</v>
      </c>
      <c r="I237">
        <f>F237 / PREF</f>
        <v>0</v>
      </c>
      <c r="J237">
        <f>H237 ^ EPS</f>
        <v>0</v>
      </c>
      <c r="K237">
        <f>THETA * B237 * I237</f>
        <v>0</v>
      </c>
      <c r="L237">
        <f>MIN(M236, J237 * CITY_A)</f>
        <v>0</v>
      </c>
      <c r="M237">
        <f>K237 * SIZE_M2</f>
        <v>0</v>
      </c>
      <c r="N237">
        <f>M236 - K237</f>
        <v>0</v>
      </c>
      <c r="O237">
        <f>SIZE_M2 * F237</f>
        <v>0</v>
      </c>
      <c r="P237">
        <f>L237 * F237</f>
        <v>0</v>
      </c>
      <c r="Q237">
        <f>O237 / (1+INF_A)^(A237-1)</f>
        <v>0</v>
      </c>
      <c r="R237">
        <f>Q236 + K237</f>
        <v>0</v>
      </c>
      <c r="S237">
        <f>INT((A237-1)/12)+1</f>
        <v>0</v>
      </c>
    </row>
    <row r="238" spans="1:19">
      <c r="A238">
        <v>237</v>
      </c>
      <c r="B238">
        <f>TEXT(DATEVALUE(START&amp;"-01")+ (ROW()-2),"yyyy-mm")</f>
        <v>0</v>
      </c>
      <c r="C238">
        <f>INDEX(SEASON_FACTORS,MOD(A238-1,12)+1)</f>
        <v>0</v>
      </c>
      <c r="D238">
        <f>INT((A238-1)/12)</f>
        <v>0</v>
      </c>
      <c r="E238">
        <f>COUNTIF(THRESH_ABS,"&lt;="&amp;Q237)</f>
        <v>0</v>
      </c>
      <c r="F238">
        <f>(1+STEP)^(C238+D238)</f>
        <v>0</v>
      </c>
      <c r="G238">
        <f>P0_M2 * (1+INF_A)^(A238-1) * (1+PLUS_A)^(A238-1) * E238</f>
        <v>0</v>
      </c>
      <c r="H238">
        <f>F238 / (1+INF_A)^(A238-1)</f>
        <v>0</v>
      </c>
      <c r="I238">
        <f>F238 / PREF</f>
        <v>0</v>
      </c>
      <c r="J238">
        <f>H238 ^ EPS</f>
        <v>0</v>
      </c>
      <c r="K238">
        <f>THETA * B238 * I238</f>
        <v>0</v>
      </c>
      <c r="L238">
        <f>MIN(M237, J238 * CITY_A)</f>
        <v>0</v>
      </c>
      <c r="M238">
        <f>K238 * SIZE_M2</f>
        <v>0</v>
      </c>
      <c r="N238">
        <f>M237 - K238</f>
        <v>0</v>
      </c>
      <c r="O238">
        <f>SIZE_M2 * F238</f>
        <v>0</v>
      </c>
      <c r="P238">
        <f>L238 * F238</f>
        <v>0</v>
      </c>
      <c r="Q238">
        <f>O238 / (1+INF_A)^(A238-1)</f>
        <v>0</v>
      </c>
      <c r="R238">
        <f>Q237 + K238</f>
        <v>0</v>
      </c>
      <c r="S238">
        <f>INT((A238-1)/12)+1</f>
        <v>0</v>
      </c>
    </row>
    <row r="239" spans="1:19">
      <c r="A239">
        <v>238</v>
      </c>
      <c r="B239">
        <f>TEXT(DATEVALUE(START&amp;"-01")+ (ROW()-2),"yyyy-mm")</f>
        <v>0</v>
      </c>
      <c r="C239">
        <f>INDEX(SEASON_FACTORS,MOD(A239-1,12)+1)</f>
        <v>0</v>
      </c>
      <c r="D239">
        <f>INT((A239-1)/12)</f>
        <v>0</v>
      </c>
      <c r="E239">
        <f>COUNTIF(THRESH_ABS,"&lt;="&amp;Q238)</f>
        <v>0</v>
      </c>
      <c r="F239">
        <f>(1+STEP)^(C239+D239)</f>
        <v>0</v>
      </c>
      <c r="G239">
        <f>P0_M2 * (1+INF_A)^(A239-1) * (1+PLUS_A)^(A239-1) * E239</f>
        <v>0</v>
      </c>
      <c r="H239">
        <f>F239 / (1+INF_A)^(A239-1)</f>
        <v>0</v>
      </c>
      <c r="I239">
        <f>F239 / PREF</f>
        <v>0</v>
      </c>
      <c r="J239">
        <f>H239 ^ EPS</f>
        <v>0</v>
      </c>
      <c r="K239">
        <f>THETA * B239 * I239</f>
        <v>0</v>
      </c>
      <c r="L239">
        <f>MIN(M238, J239 * CITY_A)</f>
        <v>0</v>
      </c>
      <c r="M239">
        <f>K239 * SIZE_M2</f>
        <v>0</v>
      </c>
      <c r="N239">
        <f>M238 - K239</f>
        <v>0</v>
      </c>
      <c r="O239">
        <f>SIZE_M2 * F239</f>
        <v>0</v>
      </c>
      <c r="P239">
        <f>L239 * F239</f>
        <v>0</v>
      </c>
      <c r="Q239">
        <f>O239 / (1+INF_A)^(A239-1)</f>
        <v>0</v>
      </c>
      <c r="R239">
        <f>Q238 + K239</f>
        <v>0</v>
      </c>
      <c r="S239">
        <f>INT((A239-1)/12)+1</f>
        <v>0</v>
      </c>
    </row>
    <row r="240" spans="1:19">
      <c r="A240">
        <v>239</v>
      </c>
      <c r="B240">
        <f>TEXT(DATEVALUE(START&amp;"-01")+ (ROW()-2),"yyyy-mm")</f>
        <v>0</v>
      </c>
      <c r="C240">
        <f>INDEX(SEASON_FACTORS,MOD(A240-1,12)+1)</f>
        <v>0</v>
      </c>
      <c r="D240">
        <f>INT((A240-1)/12)</f>
        <v>0</v>
      </c>
      <c r="E240">
        <f>COUNTIF(THRESH_ABS,"&lt;="&amp;Q239)</f>
        <v>0</v>
      </c>
      <c r="F240">
        <f>(1+STEP)^(C240+D240)</f>
        <v>0</v>
      </c>
      <c r="G240">
        <f>P0_M2 * (1+INF_A)^(A240-1) * (1+PLUS_A)^(A240-1) * E240</f>
        <v>0</v>
      </c>
      <c r="H240">
        <f>F240 / (1+INF_A)^(A240-1)</f>
        <v>0</v>
      </c>
      <c r="I240">
        <f>F240 / PREF</f>
        <v>0</v>
      </c>
      <c r="J240">
        <f>H240 ^ EPS</f>
        <v>0</v>
      </c>
      <c r="K240">
        <f>THETA * B240 * I240</f>
        <v>0</v>
      </c>
      <c r="L240">
        <f>MIN(M239, J240 * CITY_A)</f>
        <v>0</v>
      </c>
      <c r="M240">
        <f>K240 * SIZE_M2</f>
        <v>0</v>
      </c>
      <c r="N240">
        <f>M239 - K240</f>
        <v>0</v>
      </c>
      <c r="O240">
        <f>SIZE_M2 * F240</f>
        <v>0</v>
      </c>
      <c r="P240">
        <f>L240 * F240</f>
        <v>0</v>
      </c>
      <c r="Q240">
        <f>O240 / (1+INF_A)^(A240-1)</f>
        <v>0</v>
      </c>
      <c r="R240">
        <f>Q239 + K240</f>
        <v>0</v>
      </c>
      <c r="S240">
        <f>INT((A240-1)/12)+1</f>
        <v>0</v>
      </c>
    </row>
    <row r="241" spans="1:19">
      <c r="A241">
        <v>240</v>
      </c>
      <c r="B241">
        <f>TEXT(DATEVALUE(START&amp;"-01")+ (ROW()-2),"yyyy-mm")</f>
        <v>0</v>
      </c>
      <c r="C241">
        <f>INDEX(SEASON_FACTORS,MOD(A241-1,12)+1)</f>
        <v>0</v>
      </c>
      <c r="D241">
        <f>INT((A241-1)/12)</f>
        <v>0</v>
      </c>
      <c r="E241">
        <f>COUNTIF(THRESH_ABS,"&lt;="&amp;Q240)</f>
        <v>0</v>
      </c>
      <c r="F241">
        <f>(1+STEP)^(C241+D241)</f>
        <v>0</v>
      </c>
      <c r="G241">
        <f>P0_M2 * (1+INF_A)^(A241-1) * (1+PLUS_A)^(A241-1) * E241</f>
        <v>0</v>
      </c>
      <c r="H241">
        <f>F241 / (1+INF_A)^(A241-1)</f>
        <v>0</v>
      </c>
      <c r="I241">
        <f>F241 / PREF</f>
        <v>0</v>
      </c>
      <c r="J241">
        <f>H241 ^ EPS</f>
        <v>0</v>
      </c>
      <c r="K241">
        <f>THETA * B241 * I241</f>
        <v>0</v>
      </c>
      <c r="L241">
        <f>MIN(M240, J241 * CITY_A)</f>
        <v>0</v>
      </c>
      <c r="M241">
        <f>K241 * SIZE_M2</f>
        <v>0</v>
      </c>
      <c r="N241">
        <f>M240 - K241</f>
        <v>0</v>
      </c>
      <c r="O241">
        <f>SIZE_M2 * F241</f>
        <v>0</v>
      </c>
      <c r="P241">
        <f>L241 * F241</f>
        <v>0</v>
      </c>
      <c r="Q241">
        <f>O241 / (1+INF_A)^(A241-1)</f>
        <v>0</v>
      </c>
      <c r="R241">
        <f>Q240 + K241</f>
        <v>0</v>
      </c>
      <c r="S241">
        <f>INT((A241-1)/12)+1</f>
        <v>0</v>
      </c>
    </row>
    <row r="242" spans="1:19">
      <c r="A242">
        <v>241</v>
      </c>
      <c r="B242">
        <f>TEXT(DATEVALUE(START&amp;"-01")+ (ROW()-2),"yyyy-mm")</f>
        <v>0</v>
      </c>
      <c r="C242">
        <f>INDEX(SEASON_FACTORS,MOD(A242-1,12)+1)</f>
        <v>0</v>
      </c>
      <c r="D242">
        <f>INT((A242-1)/12)</f>
        <v>0</v>
      </c>
      <c r="E242">
        <f>COUNTIF(THRESH_ABS,"&lt;="&amp;Q241)</f>
        <v>0</v>
      </c>
      <c r="F242">
        <f>(1+STEP)^(C242+D242)</f>
        <v>0</v>
      </c>
      <c r="G242">
        <f>P0_M2 * (1+INF_A)^(A242-1) * (1+PLUS_A)^(A242-1) * E242</f>
        <v>0</v>
      </c>
      <c r="H242">
        <f>F242 / (1+INF_A)^(A242-1)</f>
        <v>0</v>
      </c>
      <c r="I242">
        <f>F242 / PREF</f>
        <v>0</v>
      </c>
      <c r="J242">
        <f>H242 ^ EPS</f>
        <v>0</v>
      </c>
      <c r="K242">
        <f>THETA * B242 * I242</f>
        <v>0</v>
      </c>
      <c r="L242">
        <f>MIN(M241, J242 * CITY_A)</f>
        <v>0</v>
      </c>
      <c r="M242">
        <f>K242 * SIZE_M2</f>
        <v>0</v>
      </c>
      <c r="N242">
        <f>M241 - K242</f>
        <v>0</v>
      </c>
      <c r="O242">
        <f>SIZE_M2 * F242</f>
        <v>0</v>
      </c>
      <c r="P242">
        <f>L242 * F242</f>
        <v>0</v>
      </c>
      <c r="Q242">
        <f>O242 / (1+INF_A)^(A242-1)</f>
        <v>0</v>
      </c>
      <c r="R242">
        <f>Q241 + K242</f>
        <v>0</v>
      </c>
      <c r="S242">
        <f>INT((A242-1)/12)+1</f>
        <v>0</v>
      </c>
    </row>
    <row r="243" spans="1:19">
      <c r="A243">
        <v>242</v>
      </c>
      <c r="B243">
        <f>TEXT(DATEVALUE(START&amp;"-01")+ (ROW()-2),"yyyy-mm")</f>
        <v>0</v>
      </c>
      <c r="C243">
        <f>INDEX(SEASON_FACTORS,MOD(A243-1,12)+1)</f>
        <v>0</v>
      </c>
      <c r="D243">
        <f>INT((A243-1)/12)</f>
        <v>0</v>
      </c>
      <c r="E243">
        <f>COUNTIF(THRESH_ABS,"&lt;="&amp;Q242)</f>
        <v>0</v>
      </c>
      <c r="F243">
        <f>(1+STEP)^(C243+D243)</f>
        <v>0</v>
      </c>
      <c r="G243">
        <f>P0_M2 * (1+INF_A)^(A243-1) * (1+PLUS_A)^(A243-1) * E243</f>
        <v>0</v>
      </c>
      <c r="H243">
        <f>F243 / (1+INF_A)^(A243-1)</f>
        <v>0</v>
      </c>
      <c r="I243">
        <f>F243 / PREF</f>
        <v>0</v>
      </c>
      <c r="J243">
        <f>H243 ^ EPS</f>
        <v>0</v>
      </c>
      <c r="K243">
        <f>THETA * B243 * I243</f>
        <v>0</v>
      </c>
      <c r="L243">
        <f>MIN(M242, J243 * CITY_A)</f>
        <v>0</v>
      </c>
      <c r="M243">
        <f>K243 * SIZE_M2</f>
        <v>0</v>
      </c>
      <c r="N243">
        <f>M242 - K243</f>
        <v>0</v>
      </c>
      <c r="O243">
        <f>SIZE_M2 * F243</f>
        <v>0</v>
      </c>
      <c r="P243">
        <f>L243 * F243</f>
        <v>0</v>
      </c>
      <c r="Q243">
        <f>O243 / (1+INF_A)^(A243-1)</f>
        <v>0</v>
      </c>
      <c r="R243">
        <f>Q242 + K243</f>
        <v>0</v>
      </c>
      <c r="S243">
        <f>INT((A243-1)/12)+1</f>
        <v>0</v>
      </c>
    </row>
    <row r="244" spans="1:19">
      <c r="A244">
        <v>243</v>
      </c>
      <c r="B244">
        <f>TEXT(DATEVALUE(START&amp;"-01")+ (ROW()-2),"yyyy-mm")</f>
        <v>0</v>
      </c>
      <c r="C244">
        <f>INDEX(SEASON_FACTORS,MOD(A244-1,12)+1)</f>
        <v>0</v>
      </c>
      <c r="D244">
        <f>INT((A244-1)/12)</f>
        <v>0</v>
      </c>
      <c r="E244">
        <f>COUNTIF(THRESH_ABS,"&lt;="&amp;Q243)</f>
        <v>0</v>
      </c>
      <c r="F244">
        <f>(1+STEP)^(C244+D244)</f>
        <v>0</v>
      </c>
      <c r="G244">
        <f>P0_M2 * (1+INF_A)^(A244-1) * (1+PLUS_A)^(A244-1) * E244</f>
        <v>0</v>
      </c>
      <c r="H244">
        <f>F244 / (1+INF_A)^(A244-1)</f>
        <v>0</v>
      </c>
      <c r="I244">
        <f>F244 / PREF</f>
        <v>0</v>
      </c>
      <c r="J244">
        <f>H244 ^ EPS</f>
        <v>0</v>
      </c>
      <c r="K244">
        <f>THETA * B244 * I244</f>
        <v>0</v>
      </c>
      <c r="L244">
        <f>MIN(M243, J244 * CITY_A)</f>
        <v>0</v>
      </c>
      <c r="M244">
        <f>K244 * SIZE_M2</f>
        <v>0</v>
      </c>
      <c r="N244">
        <f>M243 - K244</f>
        <v>0</v>
      </c>
      <c r="O244">
        <f>SIZE_M2 * F244</f>
        <v>0</v>
      </c>
      <c r="P244">
        <f>L244 * F244</f>
        <v>0</v>
      </c>
      <c r="Q244">
        <f>O244 / (1+INF_A)^(A244-1)</f>
        <v>0</v>
      </c>
      <c r="R244">
        <f>Q243 + K244</f>
        <v>0</v>
      </c>
      <c r="S244">
        <f>INT((A244-1)/12)+1</f>
        <v>0</v>
      </c>
    </row>
    <row r="245" spans="1:19">
      <c r="A245">
        <v>244</v>
      </c>
      <c r="B245">
        <f>TEXT(DATEVALUE(START&amp;"-01")+ (ROW()-2),"yyyy-mm")</f>
        <v>0</v>
      </c>
      <c r="C245">
        <f>INDEX(SEASON_FACTORS,MOD(A245-1,12)+1)</f>
        <v>0</v>
      </c>
      <c r="D245">
        <f>INT((A245-1)/12)</f>
        <v>0</v>
      </c>
      <c r="E245">
        <f>COUNTIF(THRESH_ABS,"&lt;="&amp;Q244)</f>
        <v>0</v>
      </c>
      <c r="F245">
        <f>(1+STEP)^(C245+D245)</f>
        <v>0</v>
      </c>
      <c r="G245">
        <f>P0_M2 * (1+INF_A)^(A245-1) * (1+PLUS_A)^(A245-1) * E245</f>
        <v>0</v>
      </c>
      <c r="H245">
        <f>F245 / (1+INF_A)^(A245-1)</f>
        <v>0</v>
      </c>
      <c r="I245">
        <f>F245 / PREF</f>
        <v>0</v>
      </c>
      <c r="J245">
        <f>H245 ^ EPS</f>
        <v>0</v>
      </c>
      <c r="K245">
        <f>THETA * B245 * I245</f>
        <v>0</v>
      </c>
      <c r="L245">
        <f>MIN(M244, J245 * CITY_A)</f>
        <v>0</v>
      </c>
      <c r="M245">
        <f>K245 * SIZE_M2</f>
        <v>0</v>
      </c>
      <c r="N245">
        <f>M244 - K245</f>
        <v>0</v>
      </c>
      <c r="O245">
        <f>SIZE_M2 * F245</f>
        <v>0</v>
      </c>
      <c r="P245">
        <f>L245 * F245</f>
        <v>0</v>
      </c>
      <c r="Q245">
        <f>O245 / (1+INF_A)^(A245-1)</f>
        <v>0</v>
      </c>
      <c r="R245">
        <f>Q244 + K245</f>
        <v>0</v>
      </c>
      <c r="S245">
        <f>INT((A245-1)/12)+1</f>
        <v>0</v>
      </c>
    </row>
    <row r="246" spans="1:19">
      <c r="A246">
        <v>245</v>
      </c>
      <c r="B246">
        <f>TEXT(DATEVALUE(START&amp;"-01")+ (ROW()-2),"yyyy-mm")</f>
        <v>0</v>
      </c>
      <c r="C246">
        <f>INDEX(SEASON_FACTORS,MOD(A246-1,12)+1)</f>
        <v>0</v>
      </c>
      <c r="D246">
        <f>INT((A246-1)/12)</f>
        <v>0</v>
      </c>
      <c r="E246">
        <f>COUNTIF(THRESH_ABS,"&lt;="&amp;Q245)</f>
        <v>0</v>
      </c>
      <c r="F246">
        <f>(1+STEP)^(C246+D246)</f>
        <v>0</v>
      </c>
      <c r="G246">
        <f>P0_M2 * (1+INF_A)^(A246-1) * (1+PLUS_A)^(A246-1) * E246</f>
        <v>0</v>
      </c>
      <c r="H246">
        <f>F246 / (1+INF_A)^(A246-1)</f>
        <v>0</v>
      </c>
      <c r="I246">
        <f>F246 / PREF</f>
        <v>0</v>
      </c>
      <c r="J246">
        <f>H246 ^ EPS</f>
        <v>0</v>
      </c>
      <c r="K246">
        <f>THETA * B246 * I246</f>
        <v>0</v>
      </c>
      <c r="L246">
        <f>MIN(M245, J246 * CITY_A)</f>
        <v>0</v>
      </c>
      <c r="M246">
        <f>K246 * SIZE_M2</f>
        <v>0</v>
      </c>
      <c r="N246">
        <f>M245 - K246</f>
        <v>0</v>
      </c>
      <c r="O246">
        <f>SIZE_M2 * F246</f>
        <v>0</v>
      </c>
      <c r="P246">
        <f>L246 * F246</f>
        <v>0</v>
      </c>
      <c r="Q246">
        <f>O246 / (1+INF_A)^(A246-1)</f>
        <v>0</v>
      </c>
      <c r="R246">
        <f>Q245 + K246</f>
        <v>0</v>
      </c>
      <c r="S246">
        <f>INT((A246-1)/12)+1</f>
        <v>0</v>
      </c>
    </row>
    <row r="247" spans="1:19">
      <c r="A247">
        <v>246</v>
      </c>
      <c r="B247">
        <f>TEXT(DATEVALUE(START&amp;"-01")+ (ROW()-2),"yyyy-mm")</f>
        <v>0</v>
      </c>
      <c r="C247">
        <f>INDEX(SEASON_FACTORS,MOD(A247-1,12)+1)</f>
        <v>0</v>
      </c>
      <c r="D247">
        <f>INT((A247-1)/12)</f>
        <v>0</v>
      </c>
      <c r="E247">
        <f>COUNTIF(THRESH_ABS,"&lt;="&amp;Q246)</f>
        <v>0</v>
      </c>
      <c r="F247">
        <f>(1+STEP)^(C247+D247)</f>
        <v>0</v>
      </c>
      <c r="G247">
        <f>P0_M2 * (1+INF_A)^(A247-1) * (1+PLUS_A)^(A247-1) * E247</f>
        <v>0</v>
      </c>
      <c r="H247">
        <f>F247 / (1+INF_A)^(A247-1)</f>
        <v>0</v>
      </c>
      <c r="I247">
        <f>F247 / PREF</f>
        <v>0</v>
      </c>
      <c r="J247">
        <f>H247 ^ EPS</f>
        <v>0</v>
      </c>
      <c r="K247">
        <f>THETA * B247 * I247</f>
        <v>0</v>
      </c>
      <c r="L247">
        <f>MIN(M246, J247 * CITY_A)</f>
        <v>0</v>
      </c>
      <c r="M247">
        <f>K247 * SIZE_M2</f>
        <v>0</v>
      </c>
      <c r="N247">
        <f>M246 - K247</f>
        <v>0</v>
      </c>
      <c r="O247">
        <f>SIZE_M2 * F247</f>
        <v>0</v>
      </c>
      <c r="P247">
        <f>L247 * F247</f>
        <v>0</v>
      </c>
      <c r="Q247">
        <f>O247 / (1+INF_A)^(A247-1)</f>
        <v>0</v>
      </c>
      <c r="R247">
        <f>Q246 + K247</f>
        <v>0</v>
      </c>
      <c r="S247">
        <f>INT((A247-1)/12)+1</f>
        <v>0</v>
      </c>
    </row>
    <row r="248" spans="1:19">
      <c r="A248">
        <v>247</v>
      </c>
      <c r="B248">
        <f>TEXT(DATEVALUE(START&amp;"-01")+ (ROW()-2),"yyyy-mm")</f>
        <v>0</v>
      </c>
      <c r="C248">
        <f>INDEX(SEASON_FACTORS,MOD(A248-1,12)+1)</f>
        <v>0</v>
      </c>
      <c r="D248">
        <f>INT((A248-1)/12)</f>
        <v>0</v>
      </c>
      <c r="E248">
        <f>COUNTIF(THRESH_ABS,"&lt;="&amp;Q247)</f>
        <v>0</v>
      </c>
      <c r="F248">
        <f>(1+STEP)^(C248+D248)</f>
        <v>0</v>
      </c>
      <c r="G248">
        <f>P0_M2 * (1+INF_A)^(A248-1) * (1+PLUS_A)^(A248-1) * E248</f>
        <v>0</v>
      </c>
      <c r="H248">
        <f>F248 / (1+INF_A)^(A248-1)</f>
        <v>0</v>
      </c>
      <c r="I248">
        <f>F248 / PREF</f>
        <v>0</v>
      </c>
      <c r="J248">
        <f>H248 ^ EPS</f>
        <v>0</v>
      </c>
      <c r="K248">
        <f>THETA * B248 * I248</f>
        <v>0</v>
      </c>
      <c r="L248">
        <f>MIN(M247, J248 * CITY_A)</f>
        <v>0</v>
      </c>
      <c r="M248">
        <f>K248 * SIZE_M2</f>
        <v>0</v>
      </c>
      <c r="N248">
        <f>M247 - K248</f>
        <v>0</v>
      </c>
      <c r="O248">
        <f>SIZE_M2 * F248</f>
        <v>0</v>
      </c>
      <c r="P248">
        <f>L248 * F248</f>
        <v>0</v>
      </c>
      <c r="Q248">
        <f>O248 / (1+INF_A)^(A248-1)</f>
        <v>0</v>
      </c>
      <c r="R248">
        <f>Q247 + K248</f>
        <v>0</v>
      </c>
      <c r="S248">
        <f>INT((A248-1)/12)+1</f>
        <v>0</v>
      </c>
    </row>
    <row r="249" spans="1:19">
      <c r="A249">
        <v>248</v>
      </c>
      <c r="B249">
        <f>TEXT(DATEVALUE(START&amp;"-01")+ (ROW()-2),"yyyy-mm")</f>
        <v>0</v>
      </c>
      <c r="C249">
        <f>INDEX(SEASON_FACTORS,MOD(A249-1,12)+1)</f>
        <v>0</v>
      </c>
      <c r="D249">
        <f>INT((A249-1)/12)</f>
        <v>0</v>
      </c>
      <c r="E249">
        <f>COUNTIF(THRESH_ABS,"&lt;="&amp;Q248)</f>
        <v>0</v>
      </c>
      <c r="F249">
        <f>(1+STEP)^(C249+D249)</f>
        <v>0</v>
      </c>
      <c r="G249">
        <f>P0_M2 * (1+INF_A)^(A249-1) * (1+PLUS_A)^(A249-1) * E249</f>
        <v>0</v>
      </c>
      <c r="H249">
        <f>F249 / (1+INF_A)^(A249-1)</f>
        <v>0</v>
      </c>
      <c r="I249">
        <f>F249 / PREF</f>
        <v>0</v>
      </c>
      <c r="J249">
        <f>H249 ^ EPS</f>
        <v>0</v>
      </c>
      <c r="K249">
        <f>THETA * B249 * I249</f>
        <v>0</v>
      </c>
      <c r="L249">
        <f>MIN(M248, J249 * CITY_A)</f>
        <v>0</v>
      </c>
      <c r="M249">
        <f>K249 * SIZE_M2</f>
        <v>0</v>
      </c>
      <c r="N249">
        <f>M248 - K249</f>
        <v>0</v>
      </c>
      <c r="O249">
        <f>SIZE_M2 * F249</f>
        <v>0</v>
      </c>
      <c r="P249">
        <f>L249 * F249</f>
        <v>0</v>
      </c>
      <c r="Q249">
        <f>O249 / (1+INF_A)^(A249-1)</f>
        <v>0</v>
      </c>
      <c r="R249">
        <f>Q248 + K249</f>
        <v>0</v>
      </c>
      <c r="S249">
        <f>INT((A249-1)/12)+1</f>
        <v>0</v>
      </c>
    </row>
    <row r="250" spans="1:19">
      <c r="A250">
        <v>249</v>
      </c>
      <c r="B250">
        <f>TEXT(DATEVALUE(START&amp;"-01")+ (ROW()-2),"yyyy-mm")</f>
        <v>0</v>
      </c>
      <c r="C250">
        <f>INDEX(SEASON_FACTORS,MOD(A250-1,12)+1)</f>
        <v>0</v>
      </c>
      <c r="D250">
        <f>INT((A250-1)/12)</f>
        <v>0</v>
      </c>
      <c r="E250">
        <f>COUNTIF(THRESH_ABS,"&lt;="&amp;Q249)</f>
        <v>0</v>
      </c>
      <c r="F250">
        <f>(1+STEP)^(C250+D250)</f>
        <v>0</v>
      </c>
      <c r="G250">
        <f>P0_M2 * (1+INF_A)^(A250-1) * (1+PLUS_A)^(A250-1) * E250</f>
        <v>0</v>
      </c>
      <c r="H250">
        <f>F250 / (1+INF_A)^(A250-1)</f>
        <v>0</v>
      </c>
      <c r="I250">
        <f>F250 / PREF</f>
        <v>0</v>
      </c>
      <c r="J250">
        <f>H250 ^ EPS</f>
        <v>0</v>
      </c>
      <c r="K250">
        <f>THETA * B250 * I250</f>
        <v>0</v>
      </c>
      <c r="L250">
        <f>MIN(M249, J250 * CITY_A)</f>
        <v>0</v>
      </c>
      <c r="M250">
        <f>K250 * SIZE_M2</f>
        <v>0</v>
      </c>
      <c r="N250">
        <f>M249 - K250</f>
        <v>0</v>
      </c>
      <c r="O250">
        <f>SIZE_M2 * F250</f>
        <v>0</v>
      </c>
      <c r="P250">
        <f>L250 * F250</f>
        <v>0</v>
      </c>
      <c r="Q250">
        <f>O250 / (1+INF_A)^(A250-1)</f>
        <v>0</v>
      </c>
      <c r="R250">
        <f>Q249 + K250</f>
        <v>0</v>
      </c>
      <c r="S250">
        <f>INT((A250-1)/12)+1</f>
        <v>0</v>
      </c>
    </row>
    <row r="251" spans="1:19">
      <c r="A251">
        <v>250</v>
      </c>
      <c r="B251">
        <f>TEXT(DATEVALUE(START&amp;"-01")+ (ROW()-2),"yyyy-mm")</f>
        <v>0</v>
      </c>
      <c r="C251">
        <f>INDEX(SEASON_FACTORS,MOD(A251-1,12)+1)</f>
        <v>0</v>
      </c>
      <c r="D251">
        <f>INT((A251-1)/12)</f>
        <v>0</v>
      </c>
      <c r="E251">
        <f>COUNTIF(THRESH_ABS,"&lt;="&amp;Q250)</f>
        <v>0</v>
      </c>
      <c r="F251">
        <f>(1+STEP)^(C251+D251)</f>
        <v>0</v>
      </c>
      <c r="G251">
        <f>P0_M2 * (1+INF_A)^(A251-1) * (1+PLUS_A)^(A251-1) * E251</f>
        <v>0</v>
      </c>
      <c r="H251">
        <f>F251 / (1+INF_A)^(A251-1)</f>
        <v>0</v>
      </c>
      <c r="I251">
        <f>F251 / PREF</f>
        <v>0</v>
      </c>
      <c r="J251">
        <f>H251 ^ EPS</f>
        <v>0</v>
      </c>
      <c r="K251">
        <f>THETA * B251 * I251</f>
        <v>0</v>
      </c>
      <c r="L251">
        <f>MIN(M250, J251 * CITY_A)</f>
        <v>0</v>
      </c>
      <c r="M251">
        <f>K251 * SIZE_M2</f>
        <v>0</v>
      </c>
      <c r="N251">
        <f>M250 - K251</f>
        <v>0</v>
      </c>
      <c r="O251">
        <f>SIZE_M2 * F251</f>
        <v>0</v>
      </c>
      <c r="P251">
        <f>L251 * F251</f>
        <v>0</v>
      </c>
      <c r="Q251">
        <f>O251 / (1+INF_A)^(A251-1)</f>
        <v>0</v>
      </c>
      <c r="R251">
        <f>Q250 + K251</f>
        <v>0</v>
      </c>
      <c r="S251">
        <f>INT((A251-1)/12)+1</f>
        <v>0</v>
      </c>
    </row>
    <row r="252" spans="1:19">
      <c r="A252">
        <v>251</v>
      </c>
      <c r="B252">
        <f>TEXT(DATEVALUE(START&amp;"-01")+ (ROW()-2),"yyyy-mm")</f>
        <v>0</v>
      </c>
      <c r="C252">
        <f>INDEX(SEASON_FACTORS,MOD(A252-1,12)+1)</f>
        <v>0</v>
      </c>
      <c r="D252">
        <f>INT((A252-1)/12)</f>
        <v>0</v>
      </c>
      <c r="E252">
        <f>COUNTIF(THRESH_ABS,"&lt;="&amp;Q251)</f>
        <v>0</v>
      </c>
      <c r="F252">
        <f>(1+STEP)^(C252+D252)</f>
        <v>0</v>
      </c>
      <c r="G252">
        <f>P0_M2 * (1+INF_A)^(A252-1) * (1+PLUS_A)^(A252-1) * E252</f>
        <v>0</v>
      </c>
      <c r="H252">
        <f>F252 / (1+INF_A)^(A252-1)</f>
        <v>0</v>
      </c>
      <c r="I252">
        <f>F252 / PREF</f>
        <v>0</v>
      </c>
      <c r="J252">
        <f>H252 ^ EPS</f>
        <v>0</v>
      </c>
      <c r="K252">
        <f>THETA * B252 * I252</f>
        <v>0</v>
      </c>
      <c r="L252">
        <f>MIN(M251, J252 * CITY_A)</f>
        <v>0</v>
      </c>
      <c r="M252">
        <f>K252 * SIZE_M2</f>
        <v>0</v>
      </c>
      <c r="N252">
        <f>M251 - K252</f>
        <v>0</v>
      </c>
      <c r="O252">
        <f>SIZE_M2 * F252</f>
        <v>0</v>
      </c>
      <c r="P252">
        <f>L252 * F252</f>
        <v>0</v>
      </c>
      <c r="Q252">
        <f>O252 / (1+INF_A)^(A252-1)</f>
        <v>0</v>
      </c>
      <c r="R252">
        <f>Q251 + K252</f>
        <v>0</v>
      </c>
      <c r="S252">
        <f>INT((A252-1)/12)+1</f>
        <v>0</v>
      </c>
    </row>
    <row r="253" spans="1:19">
      <c r="A253">
        <v>252</v>
      </c>
      <c r="B253">
        <f>TEXT(DATEVALUE(START&amp;"-01")+ (ROW()-2),"yyyy-mm")</f>
        <v>0</v>
      </c>
      <c r="C253">
        <f>INDEX(SEASON_FACTORS,MOD(A253-1,12)+1)</f>
        <v>0</v>
      </c>
      <c r="D253">
        <f>INT((A253-1)/12)</f>
        <v>0</v>
      </c>
      <c r="E253">
        <f>COUNTIF(THRESH_ABS,"&lt;="&amp;Q252)</f>
        <v>0</v>
      </c>
      <c r="F253">
        <f>(1+STEP)^(C253+D253)</f>
        <v>0</v>
      </c>
      <c r="G253">
        <f>P0_M2 * (1+INF_A)^(A253-1) * (1+PLUS_A)^(A253-1) * E253</f>
        <v>0</v>
      </c>
      <c r="H253">
        <f>F253 / (1+INF_A)^(A253-1)</f>
        <v>0</v>
      </c>
      <c r="I253">
        <f>F253 / PREF</f>
        <v>0</v>
      </c>
      <c r="J253">
        <f>H253 ^ EPS</f>
        <v>0</v>
      </c>
      <c r="K253">
        <f>THETA * B253 * I253</f>
        <v>0</v>
      </c>
      <c r="L253">
        <f>MIN(M252, J253 * CITY_A)</f>
        <v>0</v>
      </c>
      <c r="M253">
        <f>K253 * SIZE_M2</f>
        <v>0</v>
      </c>
      <c r="N253">
        <f>M252 - K253</f>
        <v>0</v>
      </c>
      <c r="O253">
        <f>SIZE_M2 * F253</f>
        <v>0</v>
      </c>
      <c r="P253">
        <f>L253 * F253</f>
        <v>0</v>
      </c>
      <c r="Q253">
        <f>O253 / (1+INF_A)^(A253-1)</f>
        <v>0</v>
      </c>
      <c r="R253">
        <f>Q252 + K253</f>
        <v>0</v>
      </c>
      <c r="S253">
        <f>INT((A253-1)/12)+1</f>
        <v>0</v>
      </c>
    </row>
    <row r="254" spans="1:19">
      <c r="A254">
        <v>253</v>
      </c>
      <c r="B254">
        <f>TEXT(DATEVALUE(START&amp;"-01")+ (ROW()-2),"yyyy-mm")</f>
        <v>0</v>
      </c>
      <c r="C254">
        <f>INDEX(SEASON_FACTORS,MOD(A254-1,12)+1)</f>
        <v>0</v>
      </c>
      <c r="D254">
        <f>INT((A254-1)/12)</f>
        <v>0</v>
      </c>
      <c r="E254">
        <f>COUNTIF(THRESH_ABS,"&lt;="&amp;Q253)</f>
        <v>0</v>
      </c>
      <c r="F254">
        <f>(1+STEP)^(C254+D254)</f>
        <v>0</v>
      </c>
      <c r="G254">
        <f>P0_M2 * (1+INF_A)^(A254-1) * (1+PLUS_A)^(A254-1) * E254</f>
        <v>0</v>
      </c>
      <c r="H254">
        <f>F254 / (1+INF_A)^(A254-1)</f>
        <v>0</v>
      </c>
      <c r="I254">
        <f>F254 / PREF</f>
        <v>0</v>
      </c>
      <c r="J254">
        <f>H254 ^ EPS</f>
        <v>0</v>
      </c>
      <c r="K254">
        <f>THETA * B254 * I254</f>
        <v>0</v>
      </c>
      <c r="L254">
        <f>MIN(M253, J254 * CITY_A)</f>
        <v>0</v>
      </c>
      <c r="M254">
        <f>K254 * SIZE_M2</f>
        <v>0</v>
      </c>
      <c r="N254">
        <f>M253 - K254</f>
        <v>0</v>
      </c>
      <c r="O254">
        <f>SIZE_M2 * F254</f>
        <v>0</v>
      </c>
      <c r="P254">
        <f>L254 * F254</f>
        <v>0</v>
      </c>
      <c r="Q254">
        <f>O254 / (1+INF_A)^(A254-1)</f>
        <v>0</v>
      </c>
      <c r="R254">
        <f>Q253 + K254</f>
        <v>0</v>
      </c>
      <c r="S254">
        <f>INT((A254-1)/12)+1</f>
        <v>0</v>
      </c>
    </row>
    <row r="255" spans="1:19">
      <c r="A255">
        <v>254</v>
      </c>
      <c r="B255">
        <f>TEXT(DATEVALUE(START&amp;"-01")+ (ROW()-2),"yyyy-mm")</f>
        <v>0</v>
      </c>
      <c r="C255">
        <f>INDEX(SEASON_FACTORS,MOD(A255-1,12)+1)</f>
        <v>0</v>
      </c>
      <c r="D255">
        <f>INT((A255-1)/12)</f>
        <v>0</v>
      </c>
      <c r="E255">
        <f>COUNTIF(THRESH_ABS,"&lt;="&amp;Q254)</f>
        <v>0</v>
      </c>
      <c r="F255">
        <f>(1+STEP)^(C255+D255)</f>
        <v>0</v>
      </c>
      <c r="G255">
        <f>P0_M2 * (1+INF_A)^(A255-1) * (1+PLUS_A)^(A255-1) * E255</f>
        <v>0</v>
      </c>
      <c r="H255">
        <f>F255 / (1+INF_A)^(A255-1)</f>
        <v>0</v>
      </c>
      <c r="I255">
        <f>F255 / PREF</f>
        <v>0</v>
      </c>
      <c r="J255">
        <f>H255 ^ EPS</f>
        <v>0</v>
      </c>
      <c r="K255">
        <f>THETA * B255 * I255</f>
        <v>0</v>
      </c>
      <c r="L255">
        <f>MIN(M254, J255 * CITY_A)</f>
        <v>0</v>
      </c>
      <c r="M255">
        <f>K255 * SIZE_M2</f>
        <v>0</v>
      </c>
      <c r="N255">
        <f>M254 - K255</f>
        <v>0</v>
      </c>
      <c r="O255">
        <f>SIZE_M2 * F255</f>
        <v>0</v>
      </c>
      <c r="P255">
        <f>L255 * F255</f>
        <v>0</v>
      </c>
      <c r="Q255">
        <f>O255 / (1+INF_A)^(A255-1)</f>
        <v>0</v>
      </c>
      <c r="R255">
        <f>Q254 + K255</f>
        <v>0</v>
      </c>
      <c r="S255">
        <f>INT((A255-1)/12)+1</f>
        <v>0</v>
      </c>
    </row>
    <row r="256" spans="1:19">
      <c r="A256">
        <v>255</v>
      </c>
      <c r="B256">
        <f>TEXT(DATEVALUE(START&amp;"-01")+ (ROW()-2),"yyyy-mm")</f>
        <v>0</v>
      </c>
      <c r="C256">
        <f>INDEX(SEASON_FACTORS,MOD(A256-1,12)+1)</f>
        <v>0</v>
      </c>
      <c r="D256">
        <f>INT((A256-1)/12)</f>
        <v>0</v>
      </c>
      <c r="E256">
        <f>COUNTIF(THRESH_ABS,"&lt;="&amp;Q255)</f>
        <v>0</v>
      </c>
      <c r="F256">
        <f>(1+STEP)^(C256+D256)</f>
        <v>0</v>
      </c>
      <c r="G256">
        <f>P0_M2 * (1+INF_A)^(A256-1) * (1+PLUS_A)^(A256-1) * E256</f>
        <v>0</v>
      </c>
      <c r="H256">
        <f>F256 / (1+INF_A)^(A256-1)</f>
        <v>0</v>
      </c>
      <c r="I256">
        <f>F256 / PREF</f>
        <v>0</v>
      </c>
      <c r="J256">
        <f>H256 ^ EPS</f>
        <v>0</v>
      </c>
      <c r="K256">
        <f>THETA * B256 * I256</f>
        <v>0</v>
      </c>
      <c r="L256">
        <f>MIN(M255, J256 * CITY_A)</f>
        <v>0</v>
      </c>
      <c r="M256">
        <f>K256 * SIZE_M2</f>
        <v>0</v>
      </c>
      <c r="N256">
        <f>M255 - K256</f>
        <v>0</v>
      </c>
      <c r="O256">
        <f>SIZE_M2 * F256</f>
        <v>0</v>
      </c>
      <c r="P256">
        <f>L256 * F256</f>
        <v>0</v>
      </c>
      <c r="Q256">
        <f>O256 / (1+INF_A)^(A256-1)</f>
        <v>0</v>
      </c>
      <c r="R256">
        <f>Q255 + K256</f>
        <v>0</v>
      </c>
      <c r="S256">
        <f>INT((A256-1)/12)+1</f>
        <v>0</v>
      </c>
    </row>
    <row r="257" spans="1:19">
      <c r="A257">
        <v>256</v>
      </c>
      <c r="B257">
        <f>TEXT(DATEVALUE(START&amp;"-01")+ (ROW()-2),"yyyy-mm")</f>
        <v>0</v>
      </c>
      <c r="C257">
        <f>INDEX(SEASON_FACTORS,MOD(A257-1,12)+1)</f>
        <v>0</v>
      </c>
      <c r="D257">
        <f>INT((A257-1)/12)</f>
        <v>0</v>
      </c>
      <c r="E257">
        <f>COUNTIF(THRESH_ABS,"&lt;="&amp;Q256)</f>
        <v>0</v>
      </c>
      <c r="F257">
        <f>(1+STEP)^(C257+D257)</f>
        <v>0</v>
      </c>
      <c r="G257">
        <f>P0_M2 * (1+INF_A)^(A257-1) * (1+PLUS_A)^(A257-1) * E257</f>
        <v>0</v>
      </c>
      <c r="H257">
        <f>F257 / (1+INF_A)^(A257-1)</f>
        <v>0</v>
      </c>
      <c r="I257">
        <f>F257 / PREF</f>
        <v>0</v>
      </c>
      <c r="J257">
        <f>H257 ^ EPS</f>
        <v>0</v>
      </c>
      <c r="K257">
        <f>THETA * B257 * I257</f>
        <v>0</v>
      </c>
      <c r="L257">
        <f>MIN(M256, J257 * CITY_A)</f>
        <v>0</v>
      </c>
      <c r="M257">
        <f>K257 * SIZE_M2</f>
        <v>0</v>
      </c>
      <c r="N257">
        <f>M256 - K257</f>
        <v>0</v>
      </c>
      <c r="O257">
        <f>SIZE_M2 * F257</f>
        <v>0</v>
      </c>
      <c r="P257">
        <f>L257 * F257</f>
        <v>0</v>
      </c>
      <c r="Q257">
        <f>O257 / (1+INF_A)^(A257-1)</f>
        <v>0</v>
      </c>
      <c r="R257">
        <f>Q256 + K257</f>
        <v>0</v>
      </c>
      <c r="S257">
        <f>INT((A257-1)/12)+1</f>
        <v>0</v>
      </c>
    </row>
    <row r="258" spans="1:19">
      <c r="A258">
        <v>257</v>
      </c>
      <c r="B258">
        <f>TEXT(DATEVALUE(START&amp;"-01")+ (ROW()-2),"yyyy-mm")</f>
        <v>0</v>
      </c>
      <c r="C258">
        <f>INDEX(SEASON_FACTORS,MOD(A258-1,12)+1)</f>
        <v>0</v>
      </c>
      <c r="D258">
        <f>INT((A258-1)/12)</f>
        <v>0</v>
      </c>
      <c r="E258">
        <f>COUNTIF(THRESH_ABS,"&lt;="&amp;Q257)</f>
        <v>0</v>
      </c>
      <c r="F258">
        <f>(1+STEP)^(C258+D258)</f>
        <v>0</v>
      </c>
      <c r="G258">
        <f>P0_M2 * (1+INF_A)^(A258-1) * (1+PLUS_A)^(A258-1) * E258</f>
        <v>0</v>
      </c>
      <c r="H258">
        <f>F258 / (1+INF_A)^(A258-1)</f>
        <v>0</v>
      </c>
      <c r="I258">
        <f>F258 / PREF</f>
        <v>0</v>
      </c>
      <c r="J258">
        <f>H258 ^ EPS</f>
        <v>0</v>
      </c>
      <c r="K258">
        <f>THETA * B258 * I258</f>
        <v>0</v>
      </c>
      <c r="L258">
        <f>MIN(M257, J258 * CITY_A)</f>
        <v>0</v>
      </c>
      <c r="M258">
        <f>K258 * SIZE_M2</f>
        <v>0</v>
      </c>
      <c r="N258">
        <f>M257 - K258</f>
        <v>0</v>
      </c>
      <c r="O258">
        <f>SIZE_M2 * F258</f>
        <v>0</v>
      </c>
      <c r="P258">
        <f>L258 * F258</f>
        <v>0</v>
      </c>
      <c r="Q258">
        <f>O258 / (1+INF_A)^(A258-1)</f>
        <v>0</v>
      </c>
      <c r="R258">
        <f>Q257 + K258</f>
        <v>0</v>
      </c>
      <c r="S258">
        <f>INT((A258-1)/12)+1</f>
        <v>0</v>
      </c>
    </row>
    <row r="259" spans="1:19">
      <c r="A259">
        <v>258</v>
      </c>
      <c r="B259">
        <f>TEXT(DATEVALUE(START&amp;"-01")+ (ROW()-2),"yyyy-mm")</f>
        <v>0</v>
      </c>
      <c r="C259">
        <f>INDEX(SEASON_FACTORS,MOD(A259-1,12)+1)</f>
        <v>0</v>
      </c>
      <c r="D259">
        <f>INT((A259-1)/12)</f>
        <v>0</v>
      </c>
      <c r="E259">
        <f>COUNTIF(THRESH_ABS,"&lt;="&amp;Q258)</f>
        <v>0</v>
      </c>
      <c r="F259">
        <f>(1+STEP)^(C259+D259)</f>
        <v>0</v>
      </c>
      <c r="G259">
        <f>P0_M2 * (1+INF_A)^(A259-1) * (1+PLUS_A)^(A259-1) * E259</f>
        <v>0</v>
      </c>
      <c r="H259">
        <f>F259 / (1+INF_A)^(A259-1)</f>
        <v>0</v>
      </c>
      <c r="I259">
        <f>F259 / PREF</f>
        <v>0</v>
      </c>
      <c r="J259">
        <f>H259 ^ EPS</f>
        <v>0</v>
      </c>
      <c r="K259">
        <f>THETA * B259 * I259</f>
        <v>0</v>
      </c>
      <c r="L259">
        <f>MIN(M258, J259 * CITY_A)</f>
        <v>0</v>
      </c>
      <c r="M259">
        <f>K259 * SIZE_M2</f>
        <v>0</v>
      </c>
      <c r="N259">
        <f>M258 - K259</f>
        <v>0</v>
      </c>
      <c r="O259">
        <f>SIZE_M2 * F259</f>
        <v>0</v>
      </c>
      <c r="P259">
        <f>L259 * F259</f>
        <v>0</v>
      </c>
      <c r="Q259">
        <f>O259 / (1+INF_A)^(A259-1)</f>
        <v>0</v>
      </c>
      <c r="R259">
        <f>Q258 + K259</f>
        <v>0</v>
      </c>
      <c r="S259">
        <f>INT((A259-1)/12)+1</f>
        <v>0</v>
      </c>
    </row>
    <row r="260" spans="1:19">
      <c r="A260">
        <v>259</v>
      </c>
      <c r="B260">
        <f>TEXT(DATEVALUE(START&amp;"-01")+ (ROW()-2),"yyyy-mm")</f>
        <v>0</v>
      </c>
      <c r="C260">
        <f>INDEX(SEASON_FACTORS,MOD(A260-1,12)+1)</f>
        <v>0</v>
      </c>
      <c r="D260">
        <f>INT((A260-1)/12)</f>
        <v>0</v>
      </c>
      <c r="E260">
        <f>COUNTIF(THRESH_ABS,"&lt;="&amp;Q259)</f>
        <v>0</v>
      </c>
      <c r="F260">
        <f>(1+STEP)^(C260+D260)</f>
        <v>0</v>
      </c>
      <c r="G260">
        <f>P0_M2 * (1+INF_A)^(A260-1) * (1+PLUS_A)^(A260-1) * E260</f>
        <v>0</v>
      </c>
      <c r="H260">
        <f>F260 / (1+INF_A)^(A260-1)</f>
        <v>0</v>
      </c>
      <c r="I260">
        <f>F260 / PREF</f>
        <v>0</v>
      </c>
      <c r="J260">
        <f>H260 ^ EPS</f>
        <v>0</v>
      </c>
      <c r="K260">
        <f>THETA * B260 * I260</f>
        <v>0</v>
      </c>
      <c r="L260">
        <f>MIN(M259, J260 * CITY_A)</f>
        <v>0</v>
      </c>
      <c r="M260">
        <f>K260 * SIZE_M2</f>
        <v>0</v>
      </c>
      <c r="N260">
        <f>M259 - K260</f>
        <v>0</v>
      </c>
      <c r="O260">
        <f>SIZE_M2 * F260</f>
        <v>0</v>
      </c>
      <c r="P260">
        <f>L260 * F260</f>
        <v>0</v>
      </c>
      <c r="Q260">
        <f>O260 / (1+INF_A)^(A260-1)</f>
        <v>0</v>
      </c>
      <c r="R260">
        <f>Q259 + K260</f>
        <v>0</v>
      </c>
      <c r="S260">
        <f>INT((A260-1)/12)+1</f>
        <v>0</v>
      </c>
    </row>
    <row r="261" spans="1:19">
      <c r="A261">
        <v>260</v>
      </c>
      <c r="B261">
        <f>TEXT(DATEVALUE(START&amp;"-01")+ (ROW()-2),"yyyy-mm")</f>
        <v>0</v>
      </c>
      <c r="C261">
        <f>INDEX(SEASON_FACTORS,MOD(A261-1,12)+1)</f>
        <v>0</v>
      </c>
      <c r="D261">
        <f>INT((A261-1)/12)</f>
        <v>0</v>
      </c>
      <c r="E261">
        <f>COUNTIF(THRESH_ABS,"&lt;="&amp;Q260)</f>
        <v>0</v>
      </c>
      <c r="F261">
        <f>(1+STEP)^(C261+D261)</f>
        <v>0</v>
      </c>
      <c r="G261">
        <f>P0_M2 * (1+INF_A)^(A261-1) * (1+PLUS_A)^(A261-1) * E261</f>
        <v>0</v>
      </c>
      <c r="H261">
        <f>F261 / (1+INF_A)^(A261-1)</f>
        <v>0</v>
      </c>
      <c r="I261">
        <f>F261 / PREF</f>
        <v>0</v>
      </c>
      <c r="J261">
        <f>H261 ^ EPS</f>
        <v>0</v>
      </c>
      <c r="K261">
        <f>THETA * B261 * I261</f>
        <v>0</v>
      </c>
      <c r="L261">
        <f>MIN(M260, J261 * CITY_A)</f>
        <v>0</v>
      </c>
      <c r="M261">
        <f>K261 * SIZE_M2</f>
        <v>0</v>
      </c>
      <c r="N261">
        <f>M260 - K261</f>
        <v>0</v>
      </c>
      <c r="O261">
        <f>SIZE_M2 * F261</f>
        <v>0</v>
      </c>
      <c r="P261">
        <f>L261 * F261</f>
        <v>0</v>
      </c>
      <c r="Q261">
        <f>O261 / (1+INF_A)^(A261-1)</f>
        <v>0</v>
      </c>
      <c r="R261">
        <f>Q260 + K261</f>
        <v>0</v>
      </c>
      <c r="S261">
        <f>INT((A261-1)/12)+1</f>
        <v>0</v>
      </c>
    </row>
    <row r="262" spans="1:19">
      <c r="A262">
        <v>261</v>
      </c>
      <c r="B262">
        <f>TEXT(DATEVALUE(START&amp;"-01")+ (ROW()-2),"yyyy-mm")</f>
        <v>0</v>
      </c>
      <c r="C262">
        <f>INDEX(SEASON_FACTORS,MOD(A262-1,12)+1)</f>
        <v>0</v>
      </c>
      <c r="D262">
        <f>INT((A262-1)/12)</f>
        <v>0</v>
      </c>
      <c r="E262">
        <f>COUNTIF(THRESH_ABS,"&lt;="&amp;Q261)</f>
        <v>0</v>
      </c>
      <c r="F262">
        <f>(1+STEP)^(C262+D262)</f>
        <v>0</v>
      </c>
      <c r="G262">
        <f>P0_M2 * (1+INF_A)^(A262-1) * (1+PLUS_A)^(A262-1) * E262</f>
        <v>0</v>
      </c>
      <c r="H262">
        <f>F262 / (1+INF_A)^(A262-1)</f>
        <v>0</v>
      </c>
      <c r="I262">
        <f>F262 / PREF</f>
        <v>0</v>
      </c>
      <c r="J262">
        <f>H262 ^ EPS</f>
        <v>0</v>
      </c>
      <c r="K262">
        <f>THETA * B262 * I262</f>
        <v>0</v>
      </c>
      <c r="L262">
        <f>MIN(M261, J262 * CITY_A)</f>
        <v>0</v>
      </c>
      <c r="M262">
        <f>K262 * SIZE_M2</f>
        <v>0</v>
      </c>
      <c r="N262">
        <f>M261 - K262</f>
        <v>0</v>
      </c>
      <c r="O262">
        <f>SIZE_M2 * F262</f>
        <v>0</v>
      </c>
      <c r="P262">
        <f>L262 * F262</f>
        <v>0</v>
      </c>
      <c r="Q262">
        <f>O262 / (1+INF_A)^(A262-1)</f>
        <v>0</v>
      </c>
      <c r="R262">
        <f>Q261 + K262</f>
        <v>0</v>
      </c>
      <c r="S262">
        <f>INT((A262-1)/12)+1</f>
        <v>0</v>
      </c>
    </row>
    <row r="263" spans="1:19">
      <c r="A263">
        <v>262</v>
      </c>
      <c r="B263">
        <f>TEXT(DATEVALUE(START&amp;"-01")+ (ROW()-2),"yyyy-mm")</f>
        <v>0</v>
      </c>
      <c r="C263">
        <f>INDEX(SEASON_FACTORS,MOD(A263-1,12)+1)</f>
        <v>0</v>
      </c>
      <c r="D263">
        <f>INT((A263-1)/12)</f>
        <v>0</v>
      </c>
      <c r="E263">
        <f>COUNTIF(THRESH_ABS,"&lt;="&amp;Q262)</f>
        <v>0</v>
      </c>
      <c r="F263">
        <f>(1+STEP)^(C263+D263)</f>
        <v>0</v>
      </c>
      <c r="G263">
        <f>P0_M2 * (1+INF_A)^(A263-1) * (1+PLUS_A)^(A263-1) * E263</f>
        <v>0</v>
      </c>
      <c r="H263">
        <f>F263 / (1+INF_A)^(A263-1)</f>
        <v>0</v>
      </c>
      <c r="I263">
        <f>F263 / PREF</f>
        <v>0</v>
      </c>
      <c r="J263">
        <f>H263 ^ EPS</f>
        <v>0</v>
      </c>
      <c r="K263">
        <f>THETA * B263 * I263</f>
        <v>0</v>
      </c>
      <c r="L263">
        <f>MIN(M262, J263 * CITY_A)</f>
        <v>0</v>
      </c>
      <c r="M263">
        <f>K263 * SIZE_M2</f>
        <v>0</v>
      </c>
      <c r="N263">
        <f>M262 - K263</f>
        <v>0</v>
      </c>
      <c r="O263">
        <f>SIZE_M2 * F263</f>
        <v>0</v>
      </c>
      <c r="P263">
        <f>L263 * F263</f>
        <v>0</v>
      </c>
      <c r="Q263">
        <f>O263 / (1+INF_A)^(A263-1)</f>
        <v>0</v>
      </c>
      <c r="R263">
        <f>Q262 + K263</f>
        <v>0</v>
      </c>
      <c r="S263">
        <f>INT((A263-1)/12)+1</f>
        <v>0</v>
      </c>
    </row>
    <row r="264" spans="1:19">
      <c r="A264">
        <v>263</v>
      </c>
      <c r="B264">
        <f>TEXT(DATEVALUE(START&amp;"-01")+ (ROW()-2),"yyyy-mm")</f>
        <v>0</v>
      </c>
      <c r="C264">
        <f>INDEX(SEASON_FACTORS,MOD(A264-1,12)+1)</f>
        <v>0</v>
      </c>
      <c r="D264">
        <f>INT((A264-1)/12)</f>
        <v>0</v>
      </c>
      <c r="E264">
        <f>COUNTIF(THRESH_ABS,"&lt;="&amp;Q263)</f>
        <v>0</v>
      </c>
      <c r="F264">
        <f>(1+STEP)^(C264+D264)</f>
        <v>0</v>
      </c>
      <c r="G264">
        <f>P0_M2 * (1+INF_A)^(A264-1) * (1+PLUS_A)^(A264-1) * E264</f>
        <v>0</v>
      </c>
      <c r="H264">
        <f>F264 / (1+INF_A)^(A264-1)</f>
        <v>0</v>
      </c>
      <c r="I264">
        <f>F264 / PREF</f>
        <v>0</v>
      </c>
      <c r="J264">
        <f>H264 ^ EPS</f>
        <v>0</v>
      </c>
      <c r="K264">
        <f>THETA * B264 * I264</f>
        <v>0</v>
      </c>
      <c r="L264">
        <f>MIN(M263, J264 * CITY_A)</f>
        <v>0</v>
      </c>
      <c r="M264">
        <f>K264 * SIZE_M2</f>
        <v>0</v>
      </c>
      <c r="N264">
        <f>M263 - K264</f>
        <v>0</v>
      </c>
      <c r="O264">
        <f>SIZE_M2 * F264</f>
        <v>0</v>
      </c>
      <c r="P264">
        <f>L264 * F264</f>
        <v>0</v>
      </c>
      <c r="Q264">
        <f>O264 / (1+INF_A)^(A264-1)</f>
        <v>0</v>
      </c>
      <c r="R264">
        <f>Q263 + K264</f>
        <v>0</v>
      </c>
      <c r="S264">
        <f>INT((A264-1)/12)+1</f>
        <v>0</v>
      </c>
    </row>
    <row r="265" spans="1:19">
      <c r="A265">
        <v>264</v>
      </c>
      <c r="B265">
        <f>TEXT(DATEVALUE(START&amp;"-01")+ (ROW()-2),"yyyy-mm")</f>
        <v>0</v>
      </c>
      <c r="C265">
        <f>INDEX(SEASON_FACTORS,MOD(A265-1,12)+1)</f>
        <v>0</v>
      </c>
      <c r="D265">
        <f>INT((A265-1)/12)</f>
        <v>0</v>
      </c>
      <c r="E265">
        <f>COUNTIF(THRESH_ABS,"&lt;="&amp;Q264)</f>
        <v>0</v>
      </c>
      <c r="F265">
        <f>(1+STEP)^(C265+D265)</f>
        <v>0</v>
      </c>
      <c r="G265">
        <f>P0_M2 * (1+INF_A)^(A265-1) * (1+PLUS_A)^(A265-1) * E265</f>
        <v>0</v>
      </c>
      <c r="H265">
        <f>F265 / (1+INF_A)^(A265-1)</f>
        <v>0</v>
      </c>
      <c r="I265">
        <f>F265 / PREF</f>
        <v>0</v>
      </c>
      <c r="J265">
        <f>H265 ^ EPS</f>
        <v>0</v>
      </c>
      <c r="K265">
        <f>THETA * B265 * I265</f>
        <v>0</v>
      </c>
      <c r="L265">
        <f>MIN(M264, J265 * CITY_A)</f>
        <v>0</v>
      </c>
      <c r="M265">
        <f>K265 * SIZE_M2</f>
        <v>0</v>
      </c>
      <c r="N265">
        <f>M264 - K265</f>
        <v>0</v>
      </c>
      <c r="O265">
        <f>SIZE_M2 * F265</f>
        <v>0</v>
      </c>
      <c r="P265">
        <f>L265 * F265</f>
        <v>0</v>
      </c>
      <c r="Q265">
        <f>O265 / (1+INF_A)^(A265-1)</f>
        <v>0</v>
      </c>
      <c r="R265">
        <f>Q264 + K265</f>
        <v>0</v>
      </c>
      <c r="S265">
        <f>INT((A265-1)/12)+1</f>
        <v>0</v>
      </c>
    </row>
    <row r="266" spans="1:19">
      <c r="A266">
        <v>265</v>
      </c>
      <c r="B266">
        <f>TEXT(DATEVALUE(START&amp;"-01")+ (ROW()-2),"yyyy-mm")</f>
        <v>0</v>
      </c>
      <c r="C266">
        <f>INDEX(SEASON_FACTORS,MOD(A266-1,12)+1)</f>
        <v>0</v>
      </c>
      <c r="D266">
        <f>INT((A266-1)/12)</f>
        <v>0</v>
      </c>
      <c r="E266">
        <f>COUNTIF(THRESH_ABS,"&lt;="&amp;Q265)</f>
        <v>0</v>
      </c>
      <c r="F266">
        <f>(1+STEP)^(C266+D266)</f>
        <v>0</v>
      </c>
      <c r="G266">
        <f>P0_M2 * (1+INF_A)^(A266-1) * (1+PLUS_A)^(A266-1) * E266</f>
        <v>0</v>
      </c>
      <c r="H266">
        <f>F266 / (1+INF_A)^(A266-1)</f>
        <v>0</v>
      </c>
      <c r="I266">
        <f>F266 / PREF</f>
        <v>0</v>
      </c>
      <c r="J266">
        <f>H266 ^ EPS</f>
        <v>0</v>
      </c>
      <c r="K266">
        <f>THETA * B266 * I266</f>
        <v>0</v>
      </c>
      <c r="L266">
        <f>MIN(M265, J266 * CITY_A)</f>
        <v>0</v>
      </c>
      <c r="M266">
        <f>K266 * SIZE_M2</f>
        <v>0</v>
      </c>
      <c r="N266">
        <f>M265 - K266</f>
        <v>0</v>
      </c>
      <c r="O266">
        <f>SIZE_M2 * F266</f>
        <v>0</v>
      </c>
      <c r="P266">
        <f>L266 * F266</f>
        <v>0</v>
      </c>
      <c r="Q266">
        <f>O266 / (1+INF_A)^(A266-1)</f>
        <v>0</v>
      </c>
      <c r="R266">
        <f>Q265 + K266</f>
        <v>0</v>
      </c>
      <c r="S266">
        <f>INT((A266-1)/12)+1</f>
        <v>0</v>
      </c>
    </row>
    <row r="267" spans="1:19">
      <c r="A267">
        <v>266</v>
      </c>
      <c r="B267">
        <f>TEXT(DATEVALUE(START&amp;"-01")+ (ROW()-2),"yyyy-mm")</f>
        <v>0</v>
      </c>
      <c r="C267">
        <f>INDEX(SEASON_FACTORS,MOD(A267-1,12)+1)</f>
        <v>0</v>
      </c>
      <c r="D267">
        <f>INT((A267-1)/12)</f>
        <v>0</v>
      </c>
      <c r="E267">
        <f>COUNTIF(THRESH_ABS,"&lt;="&amp;Q266)</f>
        <v>0</v>
      </c>
      <c r="F267">
        <f>(1+STEP)^(C267+D267)</f>
        <v>0</v>
      </c>
      <c r="G267">
        <f>P0_M2 * (1+INF_A)^(A267-1) * (1+PLUS_A)^(A267-1) * E267</f>
        <v>0</v>
      </c>
      <c r="H267">
        <f>F267 / (1+INF_A)^(A267-1)</f>
        <v>0</v>
      </c>
      <c r="I267">
        <f>F267 / PREF</f>
        <v>0</v>
      </c>
      <c r="J267">
        <f>H267 ^ EPS</f>
        <v>0</v>
      </c>
      <c r="K267">
        <f>THETA * B267 * I267</f>
        <v>0</v>
      </c>
      <c r="L267">
        <f>MIN(M266, J267 * CITY_A)</f>
        <v>0</v>
      </c>
      <c r="M267">
        <f>K267 * SIZE_M2</f>
        <v>0</v>
      </c>
      <c r="N267">
        <f>M266 - K267</f>
        <v>0</v>
      </c>
      <c r="O267">
        <f>SIZE_M2 * F267</f>
        <v>0</v>
      </c>
      <c r="P267">
        <f>L267 * F267</f>
        <v>0</v>
      </c>
      <c r="Q267">
        <f>O267 / (1+INF_A)^(A267-1)</f>
        <v>0</v>
      </c>
      <c r="R267">
        <f>Q266 + K267</f>
        <v>0</v>
      </c>
      <c r="S267">
        <f>INT((A267-1)/12)+1</f>
        <v>0</v>
      </c>
    </row>
    <row r="268" spans="1:19">
      <c r="A268">
        <v>267</v>
      </c>
      <c r="B268">
        <f>TEXT(DATEVALUE(START&amp;"-01")+ (ROW()-2),"yyyy-mm")</f>
        <v>0</v>
      </c>
      <c r="C268">
        <f>INDEX(SEASON_FACTORS,MOD(A268-1,12)+1)</f>
        <v>0</v>
      </c>
      <c r="D268">
        <f>INT((A268-1)/12)</f>
        <v>0</v>
      </c>
      <c r="E268">
        <f>COUNTIF(THRESH_ABS,"&lt;="&amp;Q267)</f>
        <v>0</v>
      </c>
      <c r="F268">
        <f>(1+STEP)^(C268+D268)</f>
        <v>0</v>
      </c>
      <c r="G268">
        <f>P0_M2 * (1+INF_A)^(A268-1) * (1+PLUS_A)^(A268-1) * E268</f>
        <v>0</v>
      </c>
      <c r="H268">
        <f>F268 / (1+INF_A)^(A268-1)</f>
        <v>0</v>
      </c>
      <c r="I268">
        <f>F268 / PREF</f>
        <v>0</v>
      </c>
      <c r="J268">
        <f>H268 ^ EPS</f>
        <v>0</v>
      </c>
      <c r="K268">
        <f>THETA * B268 * I268</f>
        <v>0</v>
      </c>
      <c r="L268">
        <f>MIN(M267, J268 * CITY_A)</f>
        <v>0</v>
      </c>
      <c r="M268">
        <f>K268 * SIZE_M2</f>
        <v>0</v>
      </c>
      <c r="N268">
        <f>M267 - K268</f>
        <v>0</v>
      </c>
      <c r="O268">
        <f>SIZE_M2 * F268</f>
        <v>0</v>
      </c>
      <c r="P268">
        <f>L268 * F268</f>
        <v>0</v>
      </c>
      <c r="Q268">
        <f>O268 / (1+INF_A)^(A268-1)</f>
        <v>0</v>
      </c>
      <c r="R268">
        <f>Q267 + K268</f>
        <v>0</v>
      </c>
      <c r="S268">
        <f>INT((A268-1)/12)+1</f>
        <v>0</v>
      </c>
    </row>
    <row r="269" spans="1:19">
      <c r="A269">
        <v>268</v>
      </c>
      <c r="B269">
        <f>TEXT(DATEVALUE(START&amp;"-01")+ (ROW()-2),"yyyy-mm")</f>
        <v>0</v>
      </c>
      <c r="C269">
        <f>INDEX(SEASON_FACTORS,MOD(A269-1,12)+1)</f>
        <v>0</v>
      </c>
      <c r="D269">
        <f>INT((A269-1)/12)</f>
        <v>0</v>
      </c>
      <c r="E269">
        <f>COUNTIF(THRESH_ABS,"&lt;="&amp;Q268)</f>
        <v>0</v>
      </c>
      <c r="F269">
        <f>(1+STEP)^(C269+D269)</f>
        <v>0</v>
      </c>
      <c r="G269">
        <f>P0_M2 * (1+INF_A)^(A269-1) * (1+PLUS_A)^(A269-1) * E269</f>
        <v>0</v>
      </c>
      <c r="H269">
        <f>F269 / (1+INF_A)^(A269-1)</f>
        <v>0</v>
      </c>
      <c r="I269">
        <f>F269 / PREF</f>
        <v>0</v>
      </c>
      <c r="J269">
        <f>H269 ^ EPS</f>
        <v>0</v>
      </c>
      <c r="K269">
        <f>THETA * B269 * I269</f>
        <v>0</v>
      </c>
      <c r="L269">
        <f>MIN(M268, J269 * CITY_A)</f>
        <v>0</v>
      </c>
      <c r="M269">
        <f>K269 * SIZE_M2</f>
        <v>0</v>
      </c>
      <c r="N269">
        <f>M268 - K269</f>
        <v>0</v>
      </c>
      <c r="O269">
        <f>SIZE_M2 * F269</f>
        <v>0</v>
      </c>
      <c r="P269">
        <f>L269 * F269</f>
        <v>0</v>
      </c>
      <c r="Q269">
        <f>O269 / (1+INF_A)^(A269-1)</f>
        <v>0</v>
      </c>
      <c r="R269">
        <f>Q268 + K269</f>
        <v>0</v>
      </c>
      <c r="S269">
        <f>INT((A269-1)/12)+1</f>
        <v>0</v>
      </c>
    </row>
    <row r="270" spans="1:19">
      <c r="A270">
        <v>269</v>
      </c>
      <c r="B270">
        <f>TEXT(DATEVALUE(START&amp;"-01")+ (ROW()-2),"yyyy-mm")</f>
        <v>0</v>
      </c>
      <c r="C270">
        <f>INDEX(SEASON_FACTORS,MOD(A270-1,12)+1)</f>
        <v>0</v>
      </c>
      <c r="D270">
        <f>INT((A270-1)/12)</f>
        <v>0</v>
      </c>
      <c r="E270">
        <f>COUNTIF(THRESH_ABS,"&lt;="&amp;Q269)</f>
        <v>0</v>
      </c>
      <c r="F270">
        <f>(1+STEP)^(C270+D270)</f>
        <v>0</v>
      </c>
      <c r="G270">
        <f>P0_M2 * (1+INF_A)^(A270-1) * (1+PLUS_A)^(A270-1) * E270</f>
        <v>0</v>
      </c>
      <c r="H270">
        <f>F270 / (1+INF_A)^(A270-1)</f>
        <v>0</v>
      </c>
      <c r="I270">
        <f>F270 / PREF</f>
        <v>0</v>
      </c>
      <c r="J270">
        <f>H270 ^ EPS</f>
        <v>0</v>
      </c>
      <c r="K270">
        <f>THETA * B270 * I270</f>
        <v>0</v>
      </c>
      <c r="L270">
        <f>MIN(M269, J270 * CITY_A)</f>
        <v>0</v>
      </c>
      <c r="M270">
        <f>K270 * SIZE_M2</f>
        <v>0</v>
      </c>
      <c r="N270">
        <f>M269 - K270</f>
        <v>0</v>
      </c>
      <c r="O270">
        <f>SIZE_M2 * F270</f>
        <v>0</v>
      </c>
      <c r="P270">
        <f>L270 * F270</f>
        <v>0</v>
      </c>
      <c r="Q270">
        <f>O270 / (1+INF_A)^(A270-1)</f>
        <v>0</v>
      </c>
      <c r="R270">
        <f>Q269 + K270</f>
        <v>0</v>
      </c>
      <c r="S270">
        <f>INT((A270-1)/12)+1</f>
        <v>0</v>
      </c>
    </row>
    <row r="271" spans="1:19">
      <c r="A271">
        <v>270</v>
      </c>
      <c r="B271">
        <f>TEXT(DATEVALUE(START&amp;"-01")+ (ROW()-2),"yyyy-mm")</f>
        <v>0</v>
      </c>
      <c r="C271">
        <f>INDEX(SEASON_FACTORS,MOD(A271-1,12)+1)</f>
        <v>0</v>
      </c>
      <c r="D271">
        <f>INT((A271-1)/12)</f>
        <v>0</v>
      </c>
      <c r="E271">
        <f>COUNTIF(THRESH_ABS,"&lt;="&amp;Q270)</f>
        <v>0</v>
      </c>
      <c r="F271">
        <f>(1+STEP)^(C271+D271)</f>
        <v>0</v>
      </c>
      <c r="G271">
        <f>P0_M2 * (1+INF_A)^(A271-1) * (1+PLUS_A)^(A271-1) * E271</f>
        <v>0</v>
      </c>
      <c r="H271">
        <f>F271 / (1+INF_A)^(A271-1)</f>
        <v>0</v>
      </c>
      <c r="I271">
        <f>F271 / PREF</f>
        <v>0</v>
      </c>
      <c r="J271">
        <f>H271 ^ EPS</f>
        <v>0</v>
      </c>
      <c r="K271">
        <f>THETA * B271 * I271</f>
        <v>0</v>
      </c>
      <c r="L271">
        <f>MIN(M270, J271 * CITY_A)</f>
        <v>0</v>
      </c>
      <c r="M271">
        <f>K271 * SIZE_M2</f>
        <v>0</v>
      </c>
      <c r="N271">
        <f>M270 - K271</f>
        <v>0</v>
      </c>
      <c r="O271">
        <f>SIZE_M2 * F271</f>
        <v>0</v>
      </c>
      <c r="P271">
        <f>L271 * F271</f>
        <v>0</v>
      </c>
      <c r="Q271">
        <f>O271 / (1+INF_A)^(A271-1)</f>
        <v>0</v>
      </c>
      <c r="R271">
        <f>Q270 + K271</f>
        <v>0</v>
      </c>
      <c r="S271">
        <f>INT((A271-1)/12)+1</f>
        <v>0</v>
      </c>
    </row>
    <row r="272" spans="1:19">
      <c r="A272">
        <v>271</v>
      </c>
      <c r="B272">
        <f>TEXT(DATEVALUE(START&amp;"-01")+ (ROW()-2),"yyyy-mm")</f>
        <v>0</v>
      </c>
      <c r="C272">
        <f>INDEX(SEASON_FACTORS,MOD(A272-1,12)+1)</f>
        <v>0</v>
      </c>
      <c r="D272">
        <f>INT((A272-1)/12)</f>
        <v>0</v>
      </c>
      <c r="E272">
        <f>COUNTIF(THRESH_ABS,"&lt;="&amp;Q271)</f>
        <v>0</v>
      </c>
      <c r="F272">
        <f>(1+STEP)^(C272+D272)</f>
        <v>0</v>
      </c>
      <c r="G272">
        <f>P0_M2 * (1+INF_A)^(A272-1) * (1+PLUS_A)^(A272-1) * E272</f>
        <v>0</v>
      </c>
      <c r="H272">
        <f>F272 / (1+INF_A)^(A272-1)</f>
        <v>0</v>
      </c>
      <c r="I272">
        <f>F272 / PREF</f>
        <v>0</v>
      </c>
      <c r="J272">
        <f>H272 ^ EPS</f>
        <v>0</v>
      </c>
      <c r="K272">
        <f>THETA * B272 * I272</f>
        <v>0</v>
      </c>
      <c r="L272">
        <f>MIN(M271, J272 * CITY_A)</f>
        <v>0</v>
      </c>
      <c r="M272">
        <f>K272 * SIZE_M2</f>
        <v>0</v>
      </c>
      <c r="N272">
        <f>M271 - K272</f>
        <v>0</v>
      </c>
      <c r="O272">
        <f>SIZE_M2 * F272</f>
        <v>0</v>
      </c>
      <c r="P272">
        <f>L272 * F272</f>
        <v>0</v>
      </c>
      <c r="Q272">
        <f>O272 / (1+INF_A)^(A272-1)</f>
        <v>0</v>
      </c>
      <c r="R272">
        <f>Q271 + K272</f>
        <v>0</v>
      </c>
      <c r="S272">
        <f>INT((A272-1)/12)+1</f>
        <v>0</v>
      </c>
    </row>
    <row r="273" spans="1:19">
      <c r="A273">
        <v>272</v>
      </c>
      <c r="B273">
        <f>TEXT(DATEVALUE(START&amp;"-01")+ (ROW()-2),"yyyy-mm")</f>
        <v>0</v>
      </c>
      <c r="C273">
        <f>INDEX(SEASON_FACTORS,MOD(A273-1,12)+1)</f>
        <v>0</v>
      </c>
      <c r="D273">
        <f>INT((A273-1)/12)</f>
        <v>0</v>
      </c>
      <c r="E273">
        <f>COUNTIF(THRESH_ABS,"&lt;="&amp;Q272)</f>
        <v>0</v>
      </c>
      <c r="F273">
        <f>(1+STEP)^(C273+D273)</f>
        <v>0</v>
      </c>
      <c r="G273">
        <f>P0_M2 * (1+INF_A)^(A273-1) * (1+PLUS_A)^(A273-1) * E273</f>
        <v>0</v>
      </c>
      <c r="H273">
        <f>F273 / (1+INF_A)^(A273-1)</f>
        <v>0</v>
      </c>
      <c r="I273">
        <f>F273 / PREF</f>
        <v>0</v>
      </c>
      <c r="J273">
        <f>H273 ^ EPS</f>
        <v>0</v>
      </c>
      <c r="K273">
        <f>THETA * B273 * I273</f>
        <v>0</v>
      </c>
      <c r="L273">
        <f>MIN(M272, J273 * CITY_A)</f>
        <v>0</v>
      </c>
      <c r="M273">
        <f>K273 * SIZE_M2</f>
        <v>0</v>
      </c>
      <c r="N273">
        <f>M272 - K273</f>
        <v>0</v>
      </c>
      <c r="O273">
        <f>SIZE_M2 * F273</f>
        <v>0</v>
      </c>
      <c r="P273">
        <f>L273 * F273</f>
        <v>0</v>
      </c>
      <c r="Q273">
        <f>O273 / (1+INF_A)^(A273-1)</f>
        <v>0</v>
      </c>
      <c r="R273">
        <f>Q272 + K273</f>
        <v>0</v>
      </c>
      <c r="S273">
        <f>INT((A273-1)/12)+1</f>
        <v>0</v>
      </c>
    </row>
    <row r="274" spans="1:19">
      <c r="A274">
        <v>273</v>
      </c>
      <c r="B274">
        <f>TEXT(DATEVALUE(START&amp;"-01")+ (ROW()-2),"yyyy-mm")</f>
        <v>0</v>
      </c>
      <c r="C274">
        <f>INDEX(SEASON_FACTORS,MOD(A274-1,12)+1)</f>
        <v>0</v>
      </c>
      <c r="D274">
        <f>INT((A274-1)/12)</f>
        <v>0</v>
      </c>
      <c r="E274">
        <f>COUNTIF(THRESH_ABS,"&lt;="&amp;Q273)</f>
        <v>0</v>
      </c>
      <c r="F274">
        <f>(1+STEP)^(C274+D274)</f>
        <v>0</v>
      </c>
      <c r="G274">
        <f>P0_M2 * (1+INF_A)^(A274-1) * (1+PLUS_A)^(A274-1) * E274</f>
        <v>0</v>
      </c>
      <c r="H274">
        <f>F274 / (1+INF_A)^(A274-1)</f>
        <v>0</v>
      </c>
      <c r="I274">
        <f>F274 / PREF</f>
        <v>0</v>
      </c>
      <c r="J274">
        <f>H274 ^ EPS</f>
        <v>0</v>
      </c>
      <c r="K274">
        <f>THETA * B274 * I274</f>
        <v>0</v>
      </c>
      <c r="L274">
        <f>MIN(M273, J274 * CITY_A)</f>
        <v>0</v>
      </c>
      <c r="M274">
        <f>K274 * SIZE_M2</f>
        <v>0</v>
      </c>
      <c r="N274">
        <f>M273 - K274</f>
        <v>0</v>
      </c>
      <c r="O274">
        <f>SIZE_M2 * F274</f>
        <v>0</v>
      </c>
      <c r="P274">
        <f>L274 * F274</f>
        <v>0</v>
      </c>
      <c r="Q274">
        <f>O274 / (1+INF_A)^(A274-1)</f>
        <v>0</v>
      </c>
      <c r="R274">
        <f>Q273 + K274</f>
        <v>0</v>
      </c>
      <c r="S274">
        <f>INT((A274-1)/12)+1</f>
        <v>0</v>
      </c>
    </row>
    <row r="275" spans="1:19">
      <c r="A275">
        <v>274</v>
      </c>
      <c r="B275">
        <f>TEXT(DATEVALUE(START&amp;"-01")+ (ROW()-2),"yyyy-mm")</f>
        <v>0</v>
      </c>
      <c r="C275">
        <f>INDEX(SEASON_FACTORS,MOD(A275-1,12)+1)</f>
        <v>0</v>
      </c>
      <c r="D275">
        <f>INT((A275-1)/12)</f>
        <v>0</v>
      </c>
      <c r="E275">
        <f>COUNTIF(THRESH_ABS,"&lt;="&amp;Q274)</f>
        <v>0</v>
      </c>
      <c r="F275">
        <f>(1+STEP)^(C275+D275)</f>
        <v>0</v>
      </c>
      <c r="G275">
        <f>P0_M2 * (1+INF_A)^(A275-1) * (1+PLUS_A)^(A275-1) * E275</f>
        <v>0</v>
      </c>
      <c r="H275">
        <f>F275 / (1+INF_A)^(A275-1)</f>
        <v>0</v>
      </c>
      <c r="I275">
        <f>F275 / PREF</f>
        <v>0</v>
      </c>
      <c r="J275">
        <f>H275 ^ EPS</f>
        <v>0</v>
      </c>
      <c r="K275">
        <f>THETA * B275 * I275</f>
        <v>0</v>
      </c>
      <c r="L275">
        <f>MIN(M274, J275 * CITY_A)</f>
        <v>0</v>
      </c>
      <c r="M275">
        <f>K275 * SIZE_M2</f>
        <v>0</v>
      </c>
      <c r="N275">
        <f>M274 - K275</f>
        <v>0</v>
      </c>
      <c r="O275">
        <f>SIZE_M2 * F275</f>
        <v>0</v>
      </c>
      <c r="P275">
        <f>L275 * F275</f>
        <v>0</v>
      </c>
      <c r="Q275">
        <f>O275 / (1+INF_A)^(A275-1)</f>
        <v>0</v>
      </c>
      <c r="R275">
        <f>Q274 + K275</f>
        <v>0</v>
      </c>
      <c r="S275">
        <f>INT((A275-1)/12)+1</f>
        <v>0</v>
      </c>
    </row>
    <row r="276" spans="1:19">
      <c r="A276">
        <v>275</v>
      </c>
      <c r="B276">
        <f>TEXT(DATEVALUE(START&amp;"-01")+ (ROW()-2),"yyyy-mm")</f>
        <v>0</v>
      </c>
      <c r="C276">
        <f>INDEX(SEASON_FACTORS,MOD(A276-1,12)+1)</f>
        <v>0</v>
      </c>
      <c r="D276">
        <f>INT((A276-1)/12)</f>
        <v>0</v>
      </c>
      <c r="E276">
        <f>COUNTIF(THRESH_ABS,"&lt;="&amp;Q275)</f>
        <v>0</v>
      </c>
      <c r="F276">
        <f>(1+STEP)^(C276+D276)</f>
        <v>0</v>
      </c>
      <c r="G276">
        <f>P0_M2 * (1+INF_A)^(A276-1) * (1+PLUS_A)^(A276-1) * E276</f>
        <v>0</v>
      </c>
      <c r="H276">
        <f>F276 / (1+INF_A)^(A276-1)</f>
        <v>0</v>
      </c>
      <c r="I276">
        <f>F276 / PREF</f>
        <v>0</v>
      </c>
      <c r="J276">
        <f>H276 ^ EPS</f>
        <v>0</v>
      </c>
      <c r="K276">
        <f>THETA * B276 * I276</f>
        <v>0</v>
      </c>
      <c r="L276">
        <f>MIN(M275, J276 * CITY_A)</f>
        <v>0</v>
      </c>
      <c r="M276">
        <f>K276 * SIZE_M2</f>
        <v>0</v>
      </c>
      <c r="N276">
        <f>M275 - K276</f>
        <v>0</v>
      </c>
      <c r="O276">
        <f>SIZE_M2 * F276</f>
        <v>0</v>
      </c>
      <c r="P276">
        <f>L276 * F276</f>
        <v>0</v>
      </c>
      <c r="Q276">
        <f>O276 / (1+INF_A)^(A276-1)</f>
        <v>0</v>
      </c>
      <c r="R276">
        <f>Q275 + K276</f>
        <v>0</v>
      </c>
      <c r="S276">
        <f>INT((A276-1)/12)+1</f>
        <v>0</v>
      </c>
    </row>
    <row r="277" spans="1:19">
      <c r="A277">
        <v>276</v>
      </c>
      <c r="B277">
        <f>TEXT(DATEVALUE(START&amp;"-01")+ (ROW()-2),"yyyy-mm")</f>
        <v>0</v>
      </c>
      <c r="C277">
        <f>INDEX(SEASON_FACTORS,MOD(A277-1,12)+1)</f>
        <v>0</v>
      </c>
      <c r="D277">
        <f>INT((A277-1)/12)</f>
        <v>0</v>
      </c>
      <c r="E277">
        <f>COUNTIF(THRESH_ABS,"&lt;="&amp;Q276)</f>
        <v>0</v>
      </c>
      <c r="F277">
        <f>(1+STEP)^(C277+D277)</f>
        <v>0</v>
      </c>
      <c r="G277">
        <f>P0_M2 * (1+INF_A)^(A277-1) * (1+PLUS_A)^(A277-1) * E277</f>
        <v>0</v>
      </c>
      <c r="H277">
        <f>F277 / (1+INF_A)^(A277-1)</f>
        <v>0</v>
      </c>
      <c r="I277">
        <f>F277 / PREF</f>
        <v>0</v>
      </c>
      <c r="J277">
        <f>H277 ^ EPS</f>
        <v>0</v>
      </c>
      <c r="K277">
        <f>THETA * B277 * I277</f>
        <v>0</v>
      </c>
      <c r="L277">
        <f>MIN(M276, J277 * CITY_A)</f>
        <v>0</v>
      </c>
      <c r="M277">
        <f>K277 * SIZE_M2</f>
        <v>0</v>
      </c>
      <c r="N277">
        <f>M276 - K277</f>
        <v>0</v>
      </c>
      <c r="O277">
        <f>SIZE_M2 * F277</f>
        <v>0</v>
      </c>
      <c r="P277">
        <f>L277 * F277</f>
        <v>0</v>
      </c>
      <c r="Q277">
        <f>O277 / (1+INF_A)^(A277-1)</f>
        <v>0</v>
      </c>
      <c r="R277">
        <f>Q276 + K277</f>
        <v>0</v>
      </c>
      <c r="S277">
        <f>INT((A277-1)/12)+1</f>
        <v>0</v>
      </c>
    </row>
    <row r="278" spans="1:19">
      <c r="A278">
        <v>277</v>
      </c>
      <c r="B278">
        <f>TEXT(DATEVALUE(START&amp;"-01")+ (ROW()-2),"yyyy-mm")</f>
        <v>0</v>
      </c>
      <c r="C278">
        <f>INDEX(SEASON_FACTORS,MOD(A278-1,12)+1)</f>
        <v>0</v>
      </c>
      <c r="D278">
        <f>INT((A278-1)/12)</f>
        <v>0</v>
      </c>
      <c r="E278">
        <f>COUNTIF(THRESH_ABS,"&lt;="&amp;Q277)</f>
        <v>0</v>
      </c>
      <c r="F278">
        <f>(1+STEP)^(C278+D278)</f>
        <v>0</v>
      </c>
      <c r="G278">
        <f>P0_M2 * (1+INF_A)^(A278-1) * (1+PLUS_A)^(A278-1) * E278</f>
        <v>0</v>
      </c>
      <c r="H278">
        <f>F278 / (1+INF_A)^(A278-1)</f>
        <v>0</v>
      </c>
      <c r="I278">
        <f>F278 / PREF</f>
        <v>0</v>
      </c>
      <c r="J278">
        <f>H278 ^ EPS</f>
        <v>0</v>
      </c>
      <c r="K278">
        <f>THETA * B278 * I278</f>
        <v>0</v>
      </c>
      <c r="L278">
        <f>MIN(M277, J278 * CITY_A)</f>
        <v>0</v>
      </c>
      <c r="M278">
        <f>K278 * SIZE_M2</f>
        <v>0</v>
      </c>
      <c r="N278">
        <f>M277 - K278</f>
        <v>0</v>
      </c>
      <c r="O278">
        <f>SIZE_M2 * F278</f>
        <v>0</v>
      </c>
      <c r="P278">
        <f>L278 * F278</f>
        <v>0</v>
      </c>
      <c r="Q278">
        <f>O278 / (1+INF_A)^(A278-1)</f>
        <v>0</v>
      </c>
      <c r="R278">
        <f>Q277 + K278</f>
        <v>0</v>
      </c>
      <c r="S278">
        <f>INT((A278-1)/12)+1</f>
        <v>0</v>
      </c>
    </row>
    <row r="279" spans="1:19">
      <c r="A279">
        <v>278</v>
      </c>
      <c r="B279">
        <f>TEXT(DATEVALUE(START&amp;"-01")+ (ROW()-2),"yyyy-mm")</f>
        <v>0</v>
      </c>
      <c r="C279">
        <f>INDEX(SEASON_FACTORS,MOD(A279-1,12)+1)</f>
        <v>0</v>
      </c>
      <c r="D279">
        <f>INT((A279-1)/12)</f>
        <v>0</v>
      </c>
      <c r="E279">
        <f>COUNTIF(THRESH_ABS,"&lt;="&amp;Q278)</f>
        <v>0</v>
      </c>
      <c r="F279">
        <f>(1+STEP)^(C279+D279)</f>
        <v>0</v>
      </c>
      <c r="G279">
        <f>P0_M2 * (1+INF_A)^(A279-1) * (1+PLUS_A)^(A279-1) * E279</f>
        <v>0</v>
      </c>
      <c r="H279">
        <f>F279 / (1+INF_A)^(A279-1)</f>
        <v>0</v>
      </c>
      <c r="I279">
        <f>F279 / PREF</f>
        <v>0</v>
      </c>
      <c r="J279">
        <f>H279 ^ EPS</f>
        <v>0</v>
      </c>
      <c r="K279">
        <f>THETA * B279 * I279</f>
        <v>0</v>
      </c>
      <c r="L279">
        <f>MIN(M278, J279 * CITY_A)</f>
        <v>0</v>
      </c>
      <c r="M279">
        <f>K279 * SIZE_M2</f>
        <v>0</v>
      </c>
      <c r="N279">
        <f>M278 - K279</f>
        <v>0</v>
      </c>
      <c r="O279">
        <f>SIZE_M2 * F279</f>
        <v>0</v>
      </c>
      <c r="P279">
        <f>L279 * F279</f>
        <v>0</v>
      </c>
      <c r="Q279">
        <f>O279 / (1+INF_A)^(A279-1)</f>
        <v>0</v>
      </c>
      <c r="R279">
        <f>Q278 + K279</f>
        <v>0</v>
      </c>
      <c r="S279">
        <f>INT((A279-1)/12)+1</f>
        <v>0</v>
      </c>
    </row>
    <row r="280" spans="1:19">
      <c r="A280">
        <v>279</v>
      </c>
      <c r="B280">
        <f>TEXT(DATEVALUE(START&amp;"-01")+ (ROW()-2),"yyyy-mm")</f>
        <v>0</v>
      </c>
      <c r="C280">
        <f>INDEX(SEASON_FACTORS,MOD(A280-1,12)+1)</f>
        <v>0</v>
      </c>
      <c r="D280">
        <f>INT((A280-1)/12)</f>
        <v>0</v>
      </c>
      <c r="E280">
        <f>COUNTIF(THRESH_ABS,"&lt;="&amp;Q279)</f>
        <v>0</v>
      </c>
      <c r="F280">
        <f>(1+STEP)^(C280+D280)</f>
        <v>0</v>
      </c>
      <c r="G280">
        <f>P0_M2 * (1+INF_A)^(A280-1) * (1+PLUS_A)^(A280-1) * E280</f>
        <v>0</v>
      </c>
      <c r="H280">
        <f>F280 / (1+INF_A)^(A280-1)</f>
        <v>0</v>
      </c>
      <c r="I280">
        <f>F280 / PREF</f>
        <v>0</v>
      </c>
      <c r="J280">
        <f>H280 ^ EPS</f>
        <v>0</v>
      </c>
      <c r="K280">
        <f>THETA * B280 * I280</f>
        <v>0</v>
      </c>
      <c r="L280">
        <f>MIN(M279, J280 * CITY_A)</f>
        <v>0</v>
      </c>
      <c r="M280">
        <f>K280 * SIZE_M2</f>
        <v>0</v>
      </c>
      <c r="N280">
        <f>M279 - K280</f>
        <v>0</v>
      </c>
      <c r="O280">
        <f>SIZE_M2 * F280</f>
        <v>0</v>
      </c>
      <c r="P280">
        <f>L280 * F280</f>
        <v>0</v>
      </c>
      <c r="Q280">
        <f>O280 / (1+INF_A)^(A280-1)</f>
        <v>0</v>
      </c>
      <c r="R280">
        <f>Q279 + K280</f>
        <v>0</v>
      </c>
      <c r="S280">
        <f>INT((A280-1)/12)+1</f>
        <v>0</v>
      </c>
    </row>
    <row r="281" spans="1:19">
      <c r="A281">
        <v>280</v>
      </c>
      <c r="B281">
        <f>TEXT(DATEVALUE(START&amp;"-01")+ (ROW()-2),"yyyy-mm")</f>
        <v>0</v>
      </c>
      <c r="C281">
        <f>INDEX(SEASON_FACTORS,MOD(A281-1,12)+1)</f>
        <v>0</v>
      </c>
      <c r="D281">
        <f>INT((A281-1)/12)</f>
        <v>0</v>
      </c>
      <c r="E281">
        <f>COUNTIF(THRESH_ABS,"&lt;="&amp;Q280)</f>
        <v>0</v>
      </c>
      <c r="F281">
        <f>(1+STEP)^(C281+D281)</f>
        <v>0</v>
      </c>
      <c r="G281">
        <f>P0_M2 * (1+INF_A)^(A281-1) * (1+PLUS_A)^(A281-1) * E281</f>
        <v>0</v>
      </c>
      <c r="H281">
        <f>F281 / (1+INF_A)^(A281-1)</f>
        <v>0</v>
      </c>
      <c r="I281">
        <f>F281 / PREF</f>
        <v>0</v>
      </c>
      <c r="J281">
        <f>H281 ^ EPS</f>
        <v>0</v>
      </c>
      <c r="K281">
        <f>THETA * B281 * I281</f>
        <v>0</v>
      </c>
      <c r="L281">
        <f>MIN(M280, J281 * CITY_A)</f>
        <v>0</v>
      </c>
      <c r="M281">
        <f>K281 * SIZE_M2</f>
        <v>0</v>
      </c>
      <c r="N281">
        <f>M280 - K281</f>
        <v>0</v>
      </c>
      <c r="O281">
        <f>SIZE_M2 * F281</f>
        <v>0</v>
      </c>
      <c r="P281">
        <f>L281 * F281</f>
        <v>0</v>
      </c>
      <c r="Q281">
        <f>O281 / (1+INF_A)^(A281-1)</f>
        <v>0</v>
      </c>
      <c r="R281">
        <f>Q280 + K281</f>
        <v>0</v>
      </c>
      <c r="S281">
        <f>INT((A281-1)/12)+1</f>
        <v>0</v>
      </c>
    </row>
    <row r="282" spans="1:19">
      <c r="A282">
        <v>281</v>
      </c>
      <c r="B282">
        <f>TEXT(DATEVALUE(START&amp;"-01")+ (ROW()-2),"yyyy-mm")</f>
        <v>0</v>
      </c>
      <c r="C282">
        <f>INDEX(SEASON_FACTORS,MOD(A282-1,12)+1)</f>
        <v>0</v>
      </c>
      <c r="D282">
        <f>INT((A282-1)/12)</f>
        <v>0</v>
      </c>
      <c r="E282">
        <f>COUNTIF(THRESH_ABS,"&lt;="&amp;Q281)</f>
        <v>0</v>
      </c>
      <c r="F282">
        <f>(1+STEP)^(C282+D282)</f>
        <v>0</v>
      </c>
      <c r="G282">
        <f>P0_M2 * (1+INF_A)^(A282-1) * (1+PLUS_A)^(A282-1) * E282</f>
        <v>0</v>
      </c>
      <c r="H282">
        <f>F282 / (1+INF_A)^(A282-1)</f>
        <v>0</v>
      </c>
      <c r="I282">
        <f>F282 / PREF</f>
        <v>0</v>
      </c>
      <c r="J282">
        <f>H282 ^ EPS</f>
        <v>0</v>
      </c>
      <c r="K282">
        <f>THETA * B282 * I282</f>
        <v>0</v>
      </c>
      <c r="L282">
        <f>MIN(M281, J282 * CITY_A)</f>
        <v>0</v>
      </c>
      <c r="M282">
        <f>K282 * SIZE_M2</f>
        <v>0</v>
      </c>
      <c r="N282">
        <f>M281 - K282</f>
        <v>0</v>
      </c>
      <c r="O282">
        <f>SIZE_M2 * F282</f>
        <v>0</v>
      </c>
      <c r="P282">
        <f>L282 * F282</f>
        <v>0</v>
      </c>
      <c r="Q282">
        <f>O282 / (1+INF_A)^(A282-1)</f>
        <v>0</v>
      </c>
      <c r="R282">
        <f>Q281 + K282</f>
        <v>0</v>
      </c>
      <c r="S282">
        <f>INT((A282-1)/12)+1</f>
        <v>0</v>
      </c>
    </row>
    <row r="283" spans="1:19">
      <c r="A283">
        <v>282</v>
      </c>
      <c r="B283">
        <f>TEXT(DATEVALUE(START&amp;"-01")+ (ROW()-2),"yyyy-mm")</f>
        <v>0</v>
      </c>
      <c r="C283">
        <f>INDEX(SEASON_FACTORS,MOD(A283-1,12)+1)</f>
        <v>0</v>
      </c>
      <c r="D283">
        <f>INT((A283-1)/12)</f>
        <v>0</v>
      </c>
      <c r="E283">
        <f>COUNTIF(THRESH_ABS,"&lt;="&amp;Q282)</f>
        <v>0</v>
      </c>
      <c r="F283">
        <f>(1+STEP)^(C283+D283)</f>
        <v>0</v>
      </c>
      <c r="G283">
        <f>P0_M2 * (1+INF_A)^(A283-1) * (1+PLUS_A)^(A283-1) * E283</f>
        <v>0</v>
      </c>
      <c r="H283">
        <f>F283 / (1+INF_A)^(A283-1)</f>
        <v>0</v>
      </c>
      <c r="I283">
        <f>F283 / PREF</f>
        <v>0</v>
      </c>
      <c r="J283">
        <f>H283 ^ EPS</f>
        <v>0</v>
      </c>
      <c r="K283">
        <f>THETA * B283 * I283</f>
        <v>0</v>
      </c>
      <c r="L283">
        <f>MIN(M282, J283 * CITY_A)</f>
        <v>0</v>
      </c>
      <c r="M283">
        <f>K283 * SIZE_M2</f>
        <v>0</v>
      </c>
      <c r="N283">
        <f>M282 - K283</f>
        <v>0</v>
      </c>
      <c r="O283">
        <f>SIZE_M2 * F283</f>
        <v>0</v>
      </c>
      <c r="P283">
        <f>L283 * F283</f>
        <v>0</v>
      </c>
      <c r="Q283">
        <f>O283 / (1+INF_A)^(A283-1)</f>
        <v>0</v>
      </c>
      <c r="R283">
        <f>Q282 + K283</f>
        <v>0</v>
      </c>
      <c r="S283">
        <f>INT((A283-1)/12)+1</f>
        <v>0</v>
      </c>
    </row>
    <row r="284" spans="1:19">
      <c r="A284">
        <v>283</v>
      </c>
      <c r="B284">
        <f>TEXT(DATEVALUE(START&amp;"-01")+ (ROW()-2),"yyyy-mm")</f>
        <v>0</v>
      </c>
      <c r="C284">
        <f>INDEX(SEASON_FACTORS,MOD(A284-1,12)+1)</f>
        <v>0</v>
      </c>
      <c r="D284">
        <f>INT((A284-1)/12)</f>
        <v>0</v>
      </c>
      <c r="E284">
        <f>COUNTIF(THRESH_ABS,"&lt;="&amp;Q283)</f>
        <v>0</v>
      </c>
      <c r="F284">
        <f>(1+STEP)^(C284+D284)</f>
        <v>0</v>
      </c>
      <c r="G284">
        <f>P0_M2 * (1+INF_A)^(A284-1) * (1+PLUS_A)^(A284-1) * E284</f>
        <v>0</v>
      </c>
      <c r="H284">
        <f>F284 / (1+INF_A)^(A284-1)</f>
        <v>0</v>
      </c>
      <c r="I284">
        <f>F284 / PREF</f>
        <v>0</v>
      </c>
      <c r="J284">
        <f>H284 ^ EPS</f>
        <v>0</v>
      </c>
      <c r="K284">
        <f>THETA * B284 * I284</f>
        <v>0</v>
      </c>
      <c r="L284">
        <f>MIN(M283, J284 * CITY_A)</f>
        <v>0</v>
      </c>
      <c r="M284">
        <f>K284 * SIZE_M2</f>
        <v>0</v>
      </c>
      <c r="N284">
        <f>M283 - K284</f>
        <v>0</v>
      </c>
      <c r="O284">
        <f>SIZE_M2 * F284</f>
        <v>0</v>
      </c>
      <c r="P284">
        <f>L284 * F284</f>
        <v>0</v>
      </c>
      <c r="Q284">
        <f>O284 / (1+INF_A)^(A284-1)</f>
        <v>0</v>
      </c>
      <c r="R284">
        <f>Q283 + K284</f>
        <v>0</v>
      </c>
      <c r="S284">
        <f>INT((A284-1)/12)+1</f>
        <v>0</v>
      </c>
    </row>
    <row r="285" spans="1:19">
      <c r="A285">
        <v>284</v>
      </c>
      <c r="B285">
        <f>TEXT(DATEVALUE(START&amp;"-01")+ (ROW()-2),"yyyy-mm")</f>
        <v>0</v>
      </c>
      <c r="C285">
        <f>INDEX(SEASON_FACTORS,MOD(A285-1,12)+1)</f>
        <v>0</v>
      </c>
      <c r="D285">
        <f>INT((A285-1)/12)</f>
        <v>0</v>
      </c>
      <c r="E285">
        <f>COUNTIF(THRESH_ABS,"&lt;="&amp;Q284)</f>
        <v>0</v>
      </c>
      <c r="F285">
        <f>(1+STEP)^(C285+D285)</f>
        <v>0</v>
      </c>
      <c r="G285">
        <f>P0_M2 * (1+INF_A)^(A285-1) * (1+PLUS_A)^(A285-1) * E285</f>
        <v>0</v>
      </c>
      <c r="H285">
        <f>F285 / (1+INF_A)^(A285-1)</f>
        <v>0</v>
      </c>
      <c r="I285">
        <f>F285 / PREF</f>
        <v>0</v>
      </c>
      <c r="J285">
        <f>H285 ^ EPS</f>
        <v>0</v>
      </c>
      <c r="K285">
        <f>THETA * B285 * I285</f>
        <v>0</v>
      </c>
      <c r="L285">
        <f>MIN(M284, J285 * CITY_A)</f>
        <v>0</v>
      </c>
      <c r="M285">
        <f>K285 * SIZE_M2</f>
        <v>0</v>
      </c>
      <c r="N285">
        <f>M284 - K285</f>
        <v>0</v>
      </c>
      <c r="O285">
        <f>SIZE_M2 * F285</f>
        <v>0</v>
      </c>
      <c r="P285">
        <f>L285 * F285</f>
        <v>0</v>
      </c>
      <c r="Q285">
        <f>O285 / (1+INF_A)^(A285-1)</f>
        <v>0</v>
      </c>
      <c r="R285">
        <f>Q284 + K285</f>
        <v>0</v>
      </c>
      <c r="S285">
        <f>INT((A285-1)/12)+1</f>
        <v>0</v>
      </c>
    </row>
    <row r="286" spans="1:19">
      <c r="A286">
        <v>285</v>
      </c>
      <c r="B286">
        <f>TEXT(DATEVALUE(START&amp;"-01")+ (ROW()-2),"yyyy-mm")</f>
        <v>0</v>
      </c>
      <c r="C286">
        <f>INDEX(SEASON_FACTORS,MOD(A286-1,12)+1)</f>
        <v>0</v>
      </c>
      <c r="D286">
        <f>INT((A286-1)/12)</f>
        <v>0</v>
      </c>
      <c r="E286">
        <f>COUNTIF(THRESH_ABS,"&lt;="&amp;Q285)</f>
        <v>0</v>
      </c>
      <c r="F286">
        <f>(1+STEP)^(C286+D286)</f>
        <v>0</v>
      </c>
      <c r="G286">
        <f>P0_M2 * (1+INF_A)^(A286-1) * (1+PLUS_A)^(A286-1) * E286</f>
        <v>0</v>
      </c>
      <c r="H286">
        <f>F286 / (1+INF_A)^(A286-1)</f>
        <v>0</v>
      </c>
      <c r="I286">
        <f>F286 / PREF</f>
        <v>0</v>
      </c>
      <c r="J286">
        <f>H286 ^ EPS</f>
        <v>0</v>
      </c>
      <c r="K286">
        <f>THETA * B286 * I286</f>
        <v>0</v>
      </c>
      <c r="L286">
        <f>MIN(M285, J286 * CITY_A)</f>
        <v>0</v>
      </c>
      <c r="M286">
        <f>K286 * SIZE_M2</f>
        <v>0</v>
      </c>
      <c r="N286">
        <f>M285 - K286</f>
        <v>0</v>
      </c>
      <c r="O286">
        <f>SIZE_M2 * F286</f>
        <v>0</v>
      </c>
      <c r="P286">
        <f>L286 * F286</f>
        <v>0</v>
      </c>
      <c r="Q286">
        <f>O286 / (1+INF_A)^(A286-1)</f>
        <v>0</v>
      </c>
      <c r="R286">
        <f>Q285 + K286</f>
        <v>0</v>
      </c>
      <c r="S286">
        <f>INT((A286-1)/12)+1</f>
        <v>0</v>
      </c>
    </row>
    <row r="287" spans="1:19">
      <c r="A287">
        <v>286</v>
      </c>
      <c r="B287">
        <f>TEXT(DATEVALUE(START&amp;"-01")+ (ROW()-2),"yyyy-mm")</f>
        <v>0</v>
      </c>
      <c r="C287">
        <f>INDEX(SEASON_FACTORS,MOD(A287-1,12)+1)</f>
        <v>0</v>
      </c>
      <c r="D287">
        <f>INT((A287-1)/12)</f>
        <v>0</v>
      </c>
      <c r="E287">
        <f>COUNTIF(THRESH_ABS,"&lt;="&amp;Q286)</f>
        <v>0</v>
      </c>
      <c r="F287">
        <f>(1+STEP)^(C287+D287)</f>
        <v>0</v>
      </c>
      <c r="G287">
        <f>P0_M2 * (1+INF_A)^(A287-1) * (1+PLUS_A)^(A287-1) * E287</f>
        <v>0</v>
      </c>
      <c r="H287">
        <f>F287 / (1+INF_A)^(A287-1)</f>
        <v>0</v>
      </c>
      <c r="I287">
        <f>F287 / PREF</f>
        <v>0</v>
      </c>
      <c r="J287">
        <f>H287 ^ EPS</f>
        <v>0</v>
      </c>
      <c r="K287">
        <f>THETA * B287 * I287</f>
        <v>0</v>
      </c>
      <c r="L287">
        <f>MIN(M286, J287 * CITY_A)</f>
        <v>0</v>
      </c>
      <c r="M287">
        <f>K287 * SIZE_M2</f>
        <v>0</v>
      </c>
      <c r="N287">
        <f>M286 - K287</f>
        <v>0</v>
      </c>
      <c r="O287">
        <f>SIZE_M2 * F287</f>
        <v>0</v>
      </c>
      <c r="P287">
        <f>L287 * F287</f>
        <v>0</v>
      </c>
      <c r="Q287">
        <f>O287 / (1+INF_A)^(A287-1)</f>
        <v>0</v>
      </c>
      <c r="R287">
        <f>Q286 + K287</f>
        <v>0</v>
      </c>
      <c r="S287">
        <f>INT((A287-1)/12)+1</f>
        <v>0</v>
      </c>
    </row>
    <row r="288" spans="1:19">
      <c r="A288">
        <v>287</v>
      </c>
      <c r="B288">
        <f>TEXT(DATEVALUE(START&amp;"-01")+ (ROW()-2),"yyyy-mm")</f>
        <v>0</v>
      </c>
      <c r="C288">
        <f>INDEX(SEASON_FACTORS,MOD(A288-1,12)+1)</f>
        <v>0</v>
      </c>
      <c r="D288">
        <f>INT((A288-1)/12)</f>
        <v>0</v>
      </c>
      <c r="E288">
        <f>COUNTIF(THRESH_ABS,"&lt;="&amp;Q287)</f>
        <v>0</v>
      </c>
      <c r="F288">
        <f>(1+STEP)^(C288+D288)</f>
        <v>0</v>
      </c>
      <c r="G288">
        <f>P0_M2 * (1+INF_A)^(A288-1) * (1+PLUS_A)^(A288-1) * E288</f>
        <v>0</v>
      </c>
      <c r="H288">
        <f>F288 / (1+INF_A)^(A288-1)</f>
        <v>0</v>
      </c>
      <c r="I288">
        <f>F288 / PREF</f>
        <v>0</v>
      </c>
      <c r="J288">
        <f>H288 ^ EPS</f>
        <v>0</v>
      </c>
      <c r="K288">
        <f>THETA * B288 * I288</f>
        <v>0</v>
      </c>
      <c r="L288">
        <f>MIN(M287, J288 * CITY_A)</f>
        <v>0</v>
      </c>
      <c r="M288">
        <f>K288 * SIZE_M2</f>
        <v>0</v>
      </c>
      <c r="N288">
        <f>M287 - K288</f>
        <v>0</v>
      </c>
      <c r="O288">
        <f>SIZE_M2 * F288</f>
        <v>0</v>
      </c>
      <c r="P288">
        <f>L288 * F288</f>
        <v>0</v>
      </c>
      <c r="Q288">
        <f>O288 / (1+INF_A)^(A288-1)</f>
        <v>0</v>
      </c>
      <c r="R288">
        <f>Q287 + K288</f>
        <v>0</v>
      </c>
      <c r="S288">
        <f>INT((A288-1)/12)+1</f>
        <v>0</v>
      </c>
    </row>
    <row r="289" spans="1:19">
      <c r="A289">
        <v>288</v>
      </c>
      <c r="B289">
        <f>TEXT(DATEVALUE(START&amp;"-01")+ (ROW()-2),"yyyy-mm")</f>
        <v>0</v>
      </c>
      <c r="C289">
        <f>INDEX(SEASON_FACTORS,MOD(A289-1,12)+1)</f>
        <v>0</v>
      </c>
      <c r="D289">
        <f>INT((A289-1)/12)</f>
        <v>0</v>
      </c>
      <c r="E289">
        <f>COUNTIF(THRESH_ABS,"&lt;="&amp;Q288)</f>
        <v>0</v>
      </c>
      <c r="F289">
        <f>(1+STEP)^(C289+D289)</f>
        <v>0</v>
      </c>
      <c r="G289">
        <f>P0_M2 * (1+INF_A)^(A289-1) * (1+PLUS_A)^(A289-1) * E289</f>
        <v>0</v>
      </c>
      <c r="H289">
        <f>F289 / (1+INF_A)^(A289-1)</f>
        <v>0</v>
      </c>
      <c r="I289">
        <f>F289 / PREF</f>
        <v>0</v>
      </c>
      <c r="J289">
        <f>H289 ^ EPS</f>
        <v>0</v>
      </c>
      <c r="K289">
        <f>THETA * B289 * I289</f>
        <v>0</v>
      </c>
      <c r="L289">
        <f>MIN(M288, J289 * CITY_A)</f>
        <v>0</v>
      </c>
      <c r="M289">
        <f>K289 * SIZE_M2</f>
        <v>0</v>
      </c>
      <c r="N289">
        <f>M288 - K289</f>
        <v>0</v>
      </c>
      <c r="O289">
        <f>SIZE_M2 * F289</f>
        <v>0</v>
      </c>
      <c r="P289">
        <f>L289 * F289</f>
        <v>0</v>
      </c>
      <c r="Q289">
        <f>O289 / (1+INF_A)^(A289-1)</f>
        <v>0</v>
      </c>
      <c r="R289">
        <f>Q288 + K289</f>
        <v>0</v>
      </c>
      <c r="S289">
        <f>INT((A289-1)/12)+1</f>
        <v>0</v>
      </c>
    </row>
    <row r="290" spans="1:19">
      <c r="A290">
        <v>289</v>
      </c>
      <c r="B290">
        <f>TEXT(DATEVALUE(START&amp;"-01")+ (ROW()-2),"yyyy-mm")</f>
        <v>0</v>
      </c>
      <c r="C290">
        <f>INDEX(SEASON_FACTORS,MOD(A290-1,12)+1)</f>
        <v>0</v>
      </c>
      <c r="D290">
        <f>INT((A290-1)/12)</f>
        <v>0</v>
      </c>
      <c r="E290">
        <f>COUNTIF(THRESH_ABS,"&lt;="&amp;Q289)</f>
        <v>0</v>
      </c>
      <c r="F290">
        <f>(1+STEP)^(C290+D290)</f>
        <v>0</v>
      </c>
      <c r="G290">
        <f>P0_M2 * (1+INF_A)^(A290-1) * (1+PLUS_A)^(A290-1) * E290</f>
        <v>0</v>
      </c>
      <c r="H290">
        <f>F290 / (1+INF_A)^(A290-1)</f>
        <v>0</v>
      </c>
      <c r="I290">
        <f>F290 / PREF</f>
        <v>0</v>
      </c>
      <c r="J290">
        <f>H290 ^ EPS</f>
        <v>0</v>
      </c>
      <c r="K290">
        <f>THETA * B290 * I290</f>
        <v>0</v>
      </c>
      <c r="L290">
        <f>MIN(M289, J290 * CITY_A)</f>
        <v>0</v>
      </c>
      <c r="M290">
        <f>K290 * SIZE_M2</f>
        <v>0</v>
      </c>
      <c r="N290">
        <f>M289 - K290</f>
        <v>0</v>
      </c>
      <c r="O290">
        <f>SIZE_M2 * F290</f>
        <v>0</v>
      </c>
      <c r="P290">
        <f>L290 * F290</f>
        <v>0</v>
      </c>
      <c r="Q290">
        <f>O290 / (1+INF_A)^(A290-1)</f>
        <v>0</v>
      </c>
      <c r="R290">
        <f>Q289 + K290</f>
        <v>0</v>
      </c>
      <c r="S290">
        <f>INT((A290-1)/12)+1</f>
        <v>0</v>
      </c>
    </row>
    <row r="291" spans="1:19">
      <c r="A291">
        <v>290</v>
      </c>
      <c r="B291">
        <f>TEXT(DATEVALUE(START&amp;"-01")+ (ROW()-2),"yyyy-mm")</f>
        <v>0</v>
      </c>
      <c r="C291">
        <f>INDEX(SEASON_FACTORS,MOD(A291-1,12)+1)</f>
        <v>0</v>
      </c>
      <c r="D291">
        <f>INT((A291-1)/12)</f>
        <v>0</v>
      </c>
      <c r="E291">
        <f>COUNTIF(THRESH_ABS,"&lt;="&amp;Q290)</f>
        <v>0</v>
      </c>
      <c r="F291">
        <f>(1+STEP)^(C291+D291)</f>
        <v>0</v>
      </c>
      <c r="G291">
        <f>P0_M2 * (1+INF_A)^(A291-1) * (1+PLUS_A)^(A291-1) * E291</f>
        <v>0</v>
      </c>
      <c r="H291">
        <f>F291 / (1+INF_A)^(A291-1)</f>
        <v>0</v>
      </c>
      <c r="I291">
        <f>F291 / PREF</f>
        <v>0</v>
      </c>
      <c r="J291">
        <f>H291 ^ EPS</f>
        <v>0</v>
      </c>
      <c r="K291">
        <f>THETA * B291 * I291</f>
        <v>0</v>
      </c>
      <c r="L291">
        <f>MIN(M290, J291 * CITY_A)</f>
        <v>0</v>
      </c>
      <c r="M291">
        <f>K291 * SIZE_M2</f>
        <v>0</v>
      </c>
      <c r="N291">
        <f>M290 - K291</f>
        <v>0</v>
      </c>
      <c r="O291">
        <f>SIZE_M2 * F291</f>
        <v>0</v>
      </c>
      <c r="P291">
        <f>L291 * F291</f>
        <v>0</v>
      </c>
      <c r="Q291">
        <f>O291 / (1+INF_A)^(A291-1)</f>
        <v>0</v>
      </c>
      <c r="R291">
        <f>Q290 + K291</f>
        <v>0</v>
      </c>
      <c r="S291">
        <f>INT((A291-1)/12)+1</f>
        <v>0</v>
      </c>
    </row>
    <row r="292" spans="1:19">
      <c r="A292">
        <v>291</v>
      </c>
      <c r="B292">
        <f>TEXT(DATEVALUE(START&amp;"-01")+ (ROW()-2),"yyyy-mm")</f>
        <v>0</v>
      </c>
      <c r="C292">
        <f>INDEX(SEASON_FACTORS,MOD(A292-1,12)+1)</f>
        <v>0</v>
      </c>
      <c r="D292">
        <f>INT((A292-1)/12)</f>
        <v>0</v>
      </c>
      <c r="E292">
        <f>COUNTIF(THRESH_ABS,"&lt;="&amp;Q291)</f>
        <v>0</v>
      </c>
      <c r="F292">
        <f>(1+STEP)^(C292+D292)</f>
        <v>0</v>
      </c>
      <c r="G292">
        <f>P0_M2 * (1+INF_A)^(A292-1) * (1+PLUS_A)^(A292-1) * E292</f>
        <v>0</v>
      </c>
      <c r="H292">
        <f>F292 / (1+INF_A)^(A292-1)</f>
        <v>0</v>
      </c>
      <c r="I292">
        <f>F292 / PREF</f>
        <v>0</v>
      </c>
      <c r="J292">
        <f>H292 ^ EPS</f>
        <v>0</v>
      </c>
      <c r="K292">
        <f>THETA * B292 * I292</f>
        <v>0</v>
      </c>
      <c r="L292">
        <f>MIN(M291, J292 * CITY_A)</f>
        <v>0</v>
      </c>
      <c r="M292">
        <f>K292 * SIZE_M2</f>
        <v>0</v>
      </c>
      <c r="N292">
        <f>M291 - K292</f>
        <v>0</v>
      </c>
      <c r="O292">
        <f>SIZE_M2 * F292</f>
        <v>0</v>
      </c>
      <c r="P292">
        <f>L292 * F292</f>
        <v>0</v>
      </c>
      <c r="Q292">
        <f>O292 / (1+INF_A)^(A292-1)</f>
        <v>0</v>
      </c>
      <c r="R292">
        <f>Q291 + K292</f>
        <v>0</v>
      </c>
      <c r="S292">
        <f>INT((A292-1)/12)+1</f>
        <v>0</v>
      </c>
    </row>
    <row r="293" spans="1:19">
      <c r="A293">
        <v>292</v>
      </c>
      <c r="B293">
        <f>TEXT(DATEVALUE(START&amp;"-01")+ (ROW()-2),"yyyy-mm")</f>
        <v>0</v>
      </c>
      <c r="C293">
        <f>INDEX(SEASON_FACTORS,MOD(A293-1,12)+1)</f>
        <v>0</v>
      </c>
      <c r="D293">
        <f>INT((A293-1)/12)</f>
        <v>0</v>
      </c>
      <c r="E293">
        <f>COUNTIF(THRESH_ABS,"&lt;="&amp;Q292)</f>
        <v>0</v>
      </c>
      <c r="F293">
        <f>(1+STEP)^(C293+D293)</f>
        <v>0</v>
      </c>
      <c r="G293">
        <f>P0_M2 * (1+INF_A)^(A293-1) * (1+PLUS_A)^(A293-1) * E293</f>
        <v>0</v>
      </c>
      <c r="H293">
        <f>F293 / (1+INF_A)^(A293-1)</f>
        <v>0</v>
      </c>
      <c r="I293">
        <f>F293 / PREF</f>
        <v>0</v>
      </c>
      <c r="J293">
        <f>H293 ^ EPS</f>
        <v>0</v>
      </c>
      <c r="K293">
        <f>THETA * B293 * I293</f>
        <v>0</v>
      </c>
      <c r="L293">
        <f>MIN(M292, J293 * CITY_A)</f>
        <v>0</v>
      </c>
      <c r="M293">
        <f>K293 * SIZE_M2</f>
        <v>0</v>
      </c>
      <c r="N293">
        <f>M292 - K293</f>
        <v>0</v>
      </c>
      <c r="O293">
        <f>SIZE_M2 * F293</f>
        <v>0</v>
      </c>
      <c r="P293">
        <f>L293 * F293</f>
        <v>0</v>
      </c>
      <c r="Q293">
        <f>O293 / (1+INF_A)^(A293-1)</f>
        <v>0</v>
      </c>
      <c r="R293">
        <f>Q292 + K293</f>
        <v>0</v>
      </c>
      <c r="S293">
        <f>INT((A293-1)/12)+1</f>
        <v>0</v>
      </c>
    </row>
    <row r="294" spans="1:19">
      <c r="A294">
        <v>293</v>
      </c>
      <c r="B294">
        <f>TEXT(DATEVALUE(START&amp;"-01")+ (ROW()-2),"yyyy-mm")</f>
        <v>0</v>
      </c>
      <c r="C294">
        <f>INDEX(SEASON_FACTORS,MOD(A294-1,12)+1)</f>
        <v>0</v>
      </c>
      <c r="D294">
        <f>INT((A294-1)/12)</f>
        <v>0</v>
      </c>
      <c r="E294">
        <f>COUNTIF(THRESH_ABS,"&lt;="&amp;Q293)</f>
        <v>0</v>
      </c>
      <c r="F294">
        <f>(1+STEP)^(C294+D294)</f>
        <v>0</v>
      </c>
      <c r="G294">
        <f>P0_M2 * (1+INF_A)^(A294-1) * (1+PLUS_A)^(A294-1) * E294</f>
        <v>0</v>
      </c>
      <c r="H294">
        <f>F294 / (1+INF_A)^(A294-1)</f>
        <v>0</v>
      </c>
      <c r="I294">
        <f>F294 / PREF</f>
        <v>0</v>
      </c>
      <c r="J294">
        <f>H294 ^ EPS</f>
        <v>0</v>
      </c>
      <c r="K294">
        <f>THETA * B294 * I294</f>
        <v>0</v>
      </c>
      <c r="L294">
        <f>MIN(M293, J294 * CITY_A)</f>
        <v>0</v>
      </c>
      <c r="M294">
        <f>K294 * SIZE_M2</f>
        <v>0</v>
      </c>
      <c r="N294">
        <f>M293 - K294</f>
        <v>0</v>
      </c>
      <c r="O294">
        <f>SIZE_M2 * F294</f>
        <v>0</v>
      </c>
      <c r="P294">
        <f>L294 * F294</f>
        <v>0</v>
      </c>
      <c r="Q294">
        <f>O294 / (1+INF_A)^(A294-1)</f>
        <v>0</v>
      </c>
      <c r="R294">
        <f>Q293 + K294</f>
        <v>0</v>
      </c>
      <c r="S294">
        <f>INT((A294-1)/12)+1</f>
        <v>0</v>
      </c>
    </row>
    <row r="295" spans="1:19">
      <c r="A295">
        <v>294</v>
      </c>
      <c r="B295">
        <f>TEXT(DATEVALUE(START&amp;"-01")+ (ROW()-2),"yyyy-mm")</f>
        <v>0</v>
      </c>
      <c r="C295">
        <f>INDEX(SEASON_FACTORS,MOD(A295-1,12)+1)</f>
        <v>0</v>
      </c>
      <c r="D295">
        <f>INT((A295-1)/12)</f>
        <v>0</v>
      </c>
      <c r="E295">
        <f>COUNTIF(THRESH_ABS,"&lt;="&amp;Q294)</f>
        <v>0</v>
      </c>
      <c r="F295">
        <f>(1+STEP)^(C295+D295)</f>
        <v>0</v>
      </c>
      <c r="G295">
        <f>P0_M2 * (1+INF_A)^(A295-1) * (1+PLUS_A)^(A295-1) * E295</f>
        <v>0</v>
      </c>
      <c r="H295">
        <f>F295 / (1+INF_A)^(A295-1)</f>
        <v>0</v>
      </c>
      <c r="I295">
        <f>F295 / PREF</f>
        <v>0</v>
      </c>
      <c r="J295">
        <f>H295 ^ EPS</f>
        <v>0</v>
      </c>
      <c r="K295">
        <f>THETA * B295 * I295</f>
        <v>0</v>
      </c>
      <c r="L295">
        <f>MIN(M294, J295 * CITY_A)</f>
        <v>0</v>
      </c>
      <c r="M295">
        <f>K295 * SIZE_M2</f>
        <v>0</v>
      </c>
      <c r="N295">
        <f>M294 - K295</f>
        <v>0</v>
      </c>
      <c r="O295">
        <f>SIZE_M2 * F295</f>
        <v>0</v>
      </c>
      <c r="P295">
        <f>L295 * F295</f>
        <v>0</v>
      </c>
      <c r="Q295">
        <f>O295 / (1+INF_A)^(A295-1)</f>
        <v>0</v>
      </c>
      <c r="R295">
        <f>Q294 + K295</f>
        <v>0</v>
      </c>
      <c r="S295">
        <f>INT((A295-1)/12)+1</f>
        <v>0</v>
      </c>
    </row>
    <row r="296" spans="1:19">
      <c r="A296">
        <v>295</v>
      </c>
      <c r="B296">
        <f>TEXT(DATEVALUE(START&amp;"-01")+ (ROW()-2),"yyyy-mm")</f>
        <v>0</v>
      </c>
      <c r="C296">
        <f>INDEX(SEASON_FACTORS,MOD(A296-1,12)+1)</f>
        <v>0</v>
      </c>
      <c r="D296">
        <f>INT((A296-1)/12)</f>
        <v>0</v>
      </c>
      <c r="E296">
        <f>COUNTIF(THRESH_ABS,"&lt;="&amp;Q295)</f>
        <v>0</v>
      </c>
      <c r="F296">
        <f>(1+STEP)^(C296+D296)</f>
        <v>0</v>
      </c>
      <c r="G296">
        <f>P0_M2 * (1+INF_A)^(A296-1) * (1+PLUS_A)^(A296-1) * E296</f>
        <v>0</v>
      </c>
      <c r="H296">
        <f>F296 / (1+INF_A)^(A296-1)</f>
        <v>0</v>
      </c>
      <c r="I296">
        <f>F296 / PREF</f>
        <v>0</v>
      </c>
      <c r="J296">
        <f>H296 ^ EPS</f>
        <v>0</v>
      </c>
      <c r="K296">
        <f>THETA * B296 * I296</f>
        <v>0</v>
      </c>
      <c r="L296">
        <f>MIN(M295, J296 * CITY_A)</f>
        <v>0</v>
      </c>
      <c r="M296">
        <f>K296 * SIZE_M2</f>
        <v>0</v>
      </c>
      <c r="N296">
        <f>M295 - K296</f>
        <v>0</v>
      </c>
      <c r="O296">
        <f>SIZE_M2 * F296</f>
        <v>0</v>
      </c>
      <c r="P296">
        <f>L296 * F296</f>
        <v>0</v>
      </c>
      <c r="Q296">
        <f>O296 / (1+INF_A)^(A296-1)</f>
        <v>0</v>
      </c>
      <c r="R296">
        <f>Q295 + K296</f>
        <v>0</v>
      </c>
      <c r="S296">
        <f>INT((A296-1)/12)+1</f>
        <v>0</v>
      </c>
    </row>
    <row r="297" spans="1:19">
      <c r="A297">
        <v>296</v>
      </c>
      <c r="B297">
        <f>TEXT(DATEVALUE(START&amp;"-01")+ (ROW()-2),"yyyy-mm")</f>
        <v>0</v>
      </c>
      <c r="C297">
        <f>INDEX(SEASON_FACTORS,MOD(A297-1,12)+1)</f>
        <v>0</v>
      </c>
      <c r="D297">
        <f>INT((A297-1)/12)</f>
        <v>0</v>
      </c>
      <c r="E297">
        <f>COUNTIF(THRESH_ABS,"&lt;="&amp;Q296)</f>
        <v>0</v>
      </c>
      <c r="F297">
        <f>(1+STEP)^(C297+D297)</f>
        <v>0</v>
      </c>
      <c r="G297">
        <f>P0_M2 * (1+INF_A)^(A297-1) * (1+PLUS_A)^(A297-1) * E297</f>
        <v>0</v>
      </c>
      <c r="H297">
        <f>F297 / (1+INF_A)^(A297-1)</f>
        <v>0</v>
      </c>
      <c r="I297">
        <f>F297 / PREF</f>
        <v>0</v>
      </c>
      <c r="J297">
        <f>H297 ^ EPS</f>
        <v>0</v>
      </c>
      <c r="K297">
        <f>THETA * B297 * I297</f>
        <v>0</v>
      </c>
      <c r="L297">
        <f>MIN(M296, J297 * CITY_A)</f>
        <v>0</v>
      </c>
      <c r="M297">
        <f>K297 * SIZE_M2</f>
        <v>0</v>
      </c>
      <c r="N297">
        <f>M296 - K297</f>
        <v>0</v>
      </c>
      <c r="O297">
        <f>SIZE_M2 * F297</f>
        <v>0</v>
      </c>
      <c r="P297">
        <f>L297 * F297</f>
        <v>0</v>
      </c>
      <c r="Q297">
        <f>O297 / (1+INF_A)^(A297-1)</f>
        <v>0</v>
      </c>
      <c r="R297">
        <f>Q296 + K297</f>
        <v>0</v>
      </c>
      <c r="S297">
        <f>INT((A297-1)/12)+1</f>
        <v>0</v>
      </c>
    </row>
    <row r="298" spans="1:19">
      <c r="A298">
        <v>297</v>
      </c>
      <c r="B298">
        <f>TEXT(DATEVALUE(START&amp;"-01")+ (ROW()-2),"yyyy-mm")</f>
        <v>0</v>
      </c>
      <c r="C298">
        <f>INDEX(SEASON_FACTORS,MOD(A298-1,12)+1)</f>
        <v>0</v>
      </c>
      <c r="D298">
        <f>INT((A298-1)/12)</f>
        <v>0</v>
      </c>
      <c r="E298">
        <f>COUNTIF(THRESH_ABS,"&lt;="&amp;Q297)</f>
        <v>0</v>
      </c>
      <c r="F298">
        <f>(1+STEP)^(C298+D298)</f>
        <v>0</v>
      </c>
      <c r="G298">
        <f>P0_M2 * (1+INF_A)^(A298-1) * (1+PLUS_A)^(A298-1) * E298</f>
        <v>0</v>
      </c>
      <c r="H298">
        <f>F298 / (1+INF_A)^(A298-1)</f>
        <v>0</v>
      </c>
      <c r="I298">
        <f>F298 / PREF</f>
        <v>0</v>
      </c>
      <c r="J298">
        <f>H298 ^ EPS</f>
        <v>0</v>
      </c>
      <c r="K298">
        <f>THETA * B298 * I298</f>
        <v>0</v>
      </c>
      <c r="L298">
        <f>MIN(M297, J298 * CITY_A)</f>
        <v>0</v>
      </c>
      <c r="M298">
        <f>K298 * SIZE_M2</f>
        <v>0</v>
      </c>
      <c r="N298">
        <f>M297 - K298</f>
        <v>0</v>
      </c>
      <c r="O298">
        <f>SIZE_M2 * F298</f>
        <v>0</v>
      </c>
      <c r="P298">
        <f>L298 * F298</f>
        <v>0</v>
      </c>
      <c r="Q298">
        <f>O298 / (1+INF_A)^(A298-1)</f>
        <v>0</v>
      </c>
      <c r="R298">
        <f>Q297 + K298</f>
        <v>0</v>
      </c>
      <c r="S298">
        <f>INT((A298-1)/12)+1</f>
        <v>0</v>
      </c>
    </row>
    <row r="299" spans="1:19">
      <c r="A299">
        <v>298</v>
      </c>
      <c r="B299">
        <f>TEXT(DATEVALUE(START&amp;"-01")+ (ROW()-2),"yyyy-mm")</f>
        <v>0</v>
      </c>
      <c r="C299">
        <f>INDEX(SEASON_FACTORS,MOD(A299-1,12)+1)</f>
        <v>0</v>
      </c>
      <c r="D299">
        <f>INT((A299-1)/12)</f>
        <v>0</v>
      </c>
      <c r="E299">
        <f>COUNTIF(THRESH_ABS,"&lt;="&amp;Q298)</f>
        <v>0</v>
      </c>
      <c r="F299">
        <f>(1+STEP)^(C299+D299)</f>
        <v>0</v>
      </c>
      <c r="G299">
        <f>P0_M2 * (1+INF_A)^(A299-1) * (1+PLUS_A)^(A299-1) * E299</f>
        <v>0</v>
      </c>
      <c r="H299">
        <f>F299 / (1+INF_A)^(A299-1)</f>
        <v>0</v>
      </c>
      <c r="I299">
        <f>F299 / PREF</f>
        <v>0</v>
      </c>
      <c r="J299">
        <f>H299 ^ EPS</f>
        <v>0</v>
      </c>
      <c r="K299">
        <f>THETA * B299 * I299</f>
        <v>0</v>
      </c>
      <c r="L299">
        <f>MIN(M298, J299 * CITY_A)</f>
        <v>0</v>
      </c>
      <c r="M299">
        <f>K299 * SIZE_M2</f>
        <v>0</v>
      </c>
      <c r="N299">
        <f>M298 - K299</f>
        <v>0</v>
      </c>
      <c r="O299">
        <f>SIZE_M2 * F299</f>
        <v>0</v>
      </c>
      <c r="P299">
        <f>L299 * F299</f>
        <v>0</v>
      </c>
      <c r="Q299">
        <f>O299 / (1+INF_A)^(A299-1)</f>
        <v>0</v>
      </c>
      <c r="R299">
        <f>Q298 + K299</f>
        <v>0</v>
      </c>
      <c r="S299">
        <f>INT((A299-1)/12)+1</f>
        <v>0</v>
      </c>
    </row>
    <row r="300" spans="1:19">
      <c r="A300">
        <v>299</v>
      </c>
      <c r="B300">
        <f>TEXT(DATEVALUE(START&amp;"-01")+ (ROW()-2),"yyyy-mm")</f>
        <v>0</v>
      </c>
      <c r="C300">
        <f>INDEX(SEASON_FACTORS,MOD(A300-1,12)+1)</f>
        <v>0</v>
      </c>
      <c r="D300">
        <f>INT((A300-1)/12)</f>
        <v>0</v>
      </c>
      <c r="E300">
        <f>COUNTIF(THRESH_ABS,"&lt;="&amp;Q299)</f>
        <v>0</v>
      </c>
      <c r="F300">
        <f>(1+STEP)^(C300+D300)</f>
        <v>0</v>
      </c>
      <c r="G300">
        <f>P0_M2 * (1+INF_A)^(A300-1) * (1+PLUS_A)^(A300-1) * E300</f>
        <v>0</v>
      </c>
      <c r="H300">
        <f>F300 / (1+INF_A)^(A300-1)</f>
        <v>0</v>
      </c>
      <c r="I300">
        <f>F300 / PREF</f>
        <v>0</v>
      </c>
      <c r="J300">
        <f>H300 ^ EPS</f>
        <v>0</v>
      </c>
      <c r="K300">
        <f>THETA * B300 * I300</f>
        <v>0</v>
      </c>
      <c r="L300">
        <f>MIN(M299, J300 * CITY_A)</f>
        <v>0</v>
      </c>
      <c r="M300">
        <f>K300 * SIZE_M2</f>
        <v>0</v>
      </c>
      <c r="N300">
        <f>M299 - K300</f>
        <v>0</v>
      </c>
      <c r="O300">
        <f>SIZE_M2 * F300</f>
        <v>0</v>
      </c>
      <c r="P300">
        <f>L300 * F300</f>
        <v>0</v>
      </c>
      <c r="Q300">
        <f>O300 / (1+INF_A)^(A300-1)</f>
        <v>0</v>
      </c>
      <c r="R300">
        <f>Q299 + K300</f>
        <v>0</v>
      </c>
      <c r="S300">
        <f>INT((A300-1)/12)+1</f>
        <v>0</v>
      </c>
    </row>
    <row r="301" spans="1:19">
      <c r="A301">
        <v>300</v>
      </c>
      <c r="B301">
        <f>TEXT(DATEVALUE(START&amp;"-01")+ (ROW()-2),"yyyy-mm")</f>
        <v>0</v>
      </c>
      <c r="C301">
        <f>INDEX(SEASON_FACTORS,MOD(A301-1,12)+1)</f>
        <v>0</v>
      </c>
      <c r="D301">
        <f>INT((A301-1)/12)</f>
        <v>0</v>
      </c>
      <c r="E301">
        <f>COUNTIF(THRESH_ABS,"&lt;="&amp;Q300)</f>
        <v>0</v>
      </c>
      <c r="F301">
        <f>(1+STEP)^(C301+D301)</f>
        <v>0</v>
      </c>
      <c r="G301">
        <f>P0_M2 * (1+INF_A)^(A301-1) * (1+PLUS_A)^(A301-1) * E301</f>
        <v>0</v>
      </c>
      <c r="H301">
        <f>F301 / (1+INF_A)^(A301-1)</f>
        <v>0</v>
      </c>
      <c r="I301">
        <f>F301 / PREF</f>
        <v>0</v>
      </c>
      <c r="J301">
        <f>H301 ^ EPS</f>
        <v>0</v>
      </c>
      <c r="K301">
        <f>THETA * B301 * I301</f>
        <v>0</v>
      </c>
      <c r="L301">
        <f>MIN(M300, J301 * CITY_A)</f>
        <v>0</v>
      </c>
      <c r="M301">
        <f>K301 * SIZE_M2</f>
        <v>0</v>
      </c>
      <c r="N301">
        <f>M300 - K301</f>
        <v>0</v>
      </c>
      <c r="O301">
        <f>SIZE_M2 * F301</f>
        <v>0</v>
      </c>
      <c r="P301">
        <f>L301 * F301</f>
        <v>0</v>
      </c>
      <c r="Q301">
        <f>O301 / (1+INF_A)^(A301-1)</f>
        <v>0</v>
      </c>
      <c r="R301">
        <f>Q300 + K301</f>
        <v>0</v>
      </c>
      <c r="S301">
        <f>INT((A301-1)/12)+1</f>
        <v>0</v>
      </c>
    </row>
    <row r="302" spans="1:19">
      <c r="A302">
        <v>301</v>
      </c>
      <c r="B302">
        <f>TEXT(DATEVALUE(START&amp;"-01")+ (ROW()-2),"yyyy-mm")</f>
        <v>0</v>
      </c>
      <c r="C302">
        <f>INDEX(SEASON_FACTORS,MOD(A302-1,12)+1)</f>
        <v>0</v>
      </c>
      <c r="D302">
        <f>INT((A302-1)/12)</f>
        <v>0</v>
      </c>
      <c r="E302">
        <f>COUNTIF(THRESH_ABS,"&lt;="&amp;Q301)</f>
        <v>0</v>
      </c>
      <c r="F302">
        <f>(1+STEP)^(C302+D302)</f>
        <v>0</v>
      </c>
      <c r="G302">
        <f>P0_M2 * (1+INF_A)^(A302-1) * (1+PLUS_A)^(A302-1) * E302</f>
        <v>0</v>
      </c>
      <c r="H302">
        <f>F302 / (1+INF_A)^(A302-1)</f>
        <v>0</v>
      </c>
      <c r="I302">
        <f>F302 / PREF</f>
        <v>0</v>
      </c>
      <c r="J302">
        <f>H302 ^ EPS</f>
        <v>0</v>
      </c>
      <c r="K302">
        <f>THETA * B302 * I302</f>
        <v>0</v>
      </c>
      <c r="L302">
        <f>MIN(M301, J302 * CITY_A)</f>
        <v>0</v>
      </c>
      <c r="M302">
        <f>K302 * SIZE_M2</f>
        <v>0</v>
      </c>
      <c r="N302">
        <f>M301 - K302</f>
        <v>0</v>
      </c>
      <c r="O302">
        <f>SIZE_M2 * F302</f>
        <v>0</v>
      </c>
      <c r="P302">
        <f>L302 * F302</f>
        <v>0</v>
      </c>
      <c r="Q302">
        <f>O302 / (1+INF_A)^(A302-1)</f>
        <v>0</v>
      </c>
      <c r="R302">
        <f>Q301 + K302</f>
        <v>0</v>
      </c>
      <c r="S302">
        <f>INT((A302-1)/12)+1</f>
        <v>0</v>
      </c>
    </row>
    <row r="303" spans="1:19">
      <c r="A303">
        <v>302</v>
      </c>
      <c r="B303">
        <f>TEXT(DATEVALUE(START&amp;"-01")+ (ROW()-2),"yyyy-mm")</f>
        <v>0</v>
      </c>
      <c r="C303">
        <f>INDEX(SEASON_FACTORS,MOD(A303-1,12)+1)</f>
        <v>0</v>
      </c>
      <c r="D303">
        <f>INT((A303-1)/12)</f>
        <v>0</v>
      </c>
      <c r="E303">
        <f>COUNTIF(THRESH_ABS,"&lt;="&amp;Q302)</f>
        <v>0</v>
      </c>
      <c r="F303">
        <f>(1+STEP)^(C303+D303)</f>
        <v>0</v>
      </c>
      <c r="G303">
        <f>P0_M2 * (1+INF_A)^(A303-1) * (1+PLUS_A)^(A303-1) * E303</f>
        <v>0</v>
      </c>
      <c r="H303">
        <f>F303 / (1+INF_A)^(A303-1)</f>
        <v>0</v>
      </c>
      <c r="I303">
        <f>F303 / PREF</f>
        <v>0</v>
      </c>
      <c r="J303">
        <f>H303 ^ EPS</f>
        <v>0</v>
      </c>
      <c r="K303">
        <f>THETA * B303 * I303</f>
        <v>0</v>
      </c>
      <c r="L303">
        <f>MIN(M302, J303 * CITY_A)</f>
        <v>0</v>
      </c>
      <c r="M303">
        <f>K303 * SIZE_M2</f>
        <v>0</v>
      </c>
      <c r="N303">
        <f>M302 - K303</f>
        <v>0</v>
      </c>
      <c r="O303">
        <f>SIZE_M2 * F303</f>
        <v>0</v>
      </c>
      <c r="P303">
        <f>L303 * F303</f>
        <v>0</v>
      </c>
      <c r="Q303">
        <f>O303 / (1+INF_A)^(A303-1)</f>
        <v>0</v>
      </c>
      <c r="R303">
        <f>Q302 + K303</f>
        <v>0</v>
      </c>
      <c r="S303">
        <f>INT((A303-1)/12)+1</f>
        <v>0</v>
      </c>
    </row>
    <row r="304" spans="1:19">
      <c r="A304">
        <v>303</v>
      </c>
      <c r="B304">
        <f>TEXT(DATEVALUE(START&amp;"-01")+ (ROW()-2),"yyyy-mm")</f>
        <v>0</v>
      </c>
      <c r="C304">
        <f>INDEX(SEASON_FACTORS,MOD(A304-1,12)+1)</f>
        <v>0</v>
      </c>
      <c r="D304">
        <f>INT((A304-1)/12)</f>
        <v>0</v>
      </c>
      <c r="E304">
        <f>COUNTIF(THRESH_ABS,"&lt;="&amp;Q303)</f>
        <v>0</v>
      </c>
      <c r="F304">
        <f>(1+STEP)^(C304+D304)</f>
        <v>0</v>
      </c>
      <c r="G304">
        <f>P0_M2 * (1+INF_A)^(A304-1) * (1+PLUS_A)^(A304-1) * E304</f>
        <v>0</v>
      </c>
      <c r="H304">
        <f>F304 / (1+INF_A)^(A304-1)</f>
        <v>0</v>
      </c>
      <c r="I304">
        <f>F304 / PREF</f>
        <v>0</v>
      </c>
      <c r="J304">
        <f>H304 ^ EPS</f>
        <v>0</v>
      </c>
      <c r="K304">
        <f>THETA * B304 * I304</f>
        <v>0</v>
      </c>
      <c r="L304">
        <f>MIN(M303, J304 * CITY_A)</f>
        <v>0</v>
      </c>
      <c r="M304">
        <f>K304 * SIZE_M2</f>
        <v>0</v>
      </c>
      <c r="N304">
        <f>M303 - K304</f>
        <v>0</v>
      </c>
      <c r="O304">
        <f>SIZE_M2 * F304</f>
        <v>0</v>
      </c>
      <c r="P304">
        <f>L304 * F304</f>
        <v>0</v>
      </c>
      <c r="Q304">
        <f>O304 / (1+INF_A)^(A304-1)</f>
        <v>0</v>
      </c>
      <c r="R304">
        <f>Q303 + K304</f>
        <v>0</v>
      </c>
      <c r="S304">
        <f>INT((A304-1)/12)+1</f>
        <v>0</v>
      </c>
    </row>
    <row r="305" spans="1:19">
      <c r="A305">
        <v>304</v>
      </c>
      <c r="B305">
        <f>TEXT(DATEVALUE(START&amp;"-01")+ (ROW()-2),"yyyy-mm")</f>
        <v>0</v>
      </c>
      <c r="C305">
        <f>INDEX(SEASON_FACTORS,MOD(A305-1,12)+1)</f>
        <v>0</v>
      </c>
      <c r="D305">
        <f>INT((A305-1)/12)</f>
        <v>0</v>
      </c>
      <c r="E305">
        <f>COUNTIF(THRESH_ABS,"&lt;="&amp;Q304)</f>
        <v>0</v>
      </c>
      <c r="F305">
        <f>(1+STEP)^(C305+D305)</f>
        <v>0</v>
      </c>
      <c r="G305">
        <f>P0_M2 * (1+INF_A)^(A305-1) * (1+PLUS_A)^(A305-1) * E305</f>
        <v>0</v>
      </c>
      <c r="H305">
        <f>F305 / (1+INF_A)^(A305-1)</f>
        <v>0</v>
      </c>
      <c r="I305">
        <f>F305 / PREF</f>
        <v>0</v>
      </c>
      <c r="J305">
        <f>H305 ^ EPS</f>
        <v>0</v>
      </c>
      <c r="K305">
        <f>THETA * B305 * I305</f>
        <v>0</v>
      </c>
      <c r="L305">
        <f>MIN(M304, J305 * CITY_A)</f>
        <v>0</v>
      </c>
      <c r="M305">
        <f>K305 * SIZE_M2</f>
        <v>0</v>
      </c>
      <c r="N305">
        <f>M304 - K305</f>
        <v>0</v>
      </c>
      <c r="O305">
        <f>SIZE_M2 * F305</f>
        <v>0</v>
      </c>
      <c r="P305">
        <f>L305 * F305</f>
        <v>0</v>
      </c>
      <c r="Q305">
        <f>O305 / (1+INF_A)^(A305-1)</f>
        <v>0</v>
      </c>
      <c r="R305">
        <f>Q304 + K305</f>
        <v>0</v>
      </c>
      <c r="S305">
        <f>INT((A305-1)/12)+1</f>
        <v>0</v>
      </c>
    </row>
    <row r="306" spans="1:19">
      <c r="A306">
        <v>305</v>
      </c>
      <c r="B306">
        <f>TEXT(DATEVALUE(START&amp;"-01")+ (ROW()-2),"yyyy-mm")</f>
        <v>0</v>
      </c>
      <c r="C306">
        <f>INDEX(SEASON_FACTORS,MOD(A306-1,12)+1)</f>
        <v>0</v>
      </c>
      <c r="D306">
        <f>INT((A306-1)/12)</f>
        <v>0</v>
      </c>
      <c r="E306">
        <f>COUNTIF(THRESH_ABS,"&lt;="&amp;Q305)</f>
        <v>0</v>
      </c>
      <c r="F306">
        <f>(1+STEP)^(C306+D306)</f>
        <v>0</v>
      </c>
      <c r="G306">
        <f>P0_M2 * (1+INF_A)^(A306-1) * (1+PLUS_A)^(A306-1) * E306</f>
        <v>0</v>
      </c>
      <c r="H306">
        <f>F306 / (1+INF_A)^(A306-1)</f>
        <v>0</v>
      </c>
      <c r="I306">
        <f>F306 / PREF</f>
        <v>0</v>
      </c>
      <c r="J306">
        <f>H306 ^ EPS</f>
        <v>0</v>
      </c>
      <c r="K306">
        <f>THETA * B306 * I306</f>
        <v>0</v>
      </c>
      <c r="L306">
        <f>MIN(M305, J306 * CITY_A)</f>
        <v>0</v>
      </c>
      <c r="M306">
        <f>K306 * SIZE_M2</f>
        <v>0</v>
      </c>
      <c r="N306">
        <f>M305 - K306</f>
        <v>0</v>
      </c>
      <c r="O306">
        <f>SIZE_M2 * F306</f>
        <v>0</v>
      </c>
      <c r="P306">
        <f>L306 * F306</f>
        <v>0</v>
      </c>
      <c r="Q306">
        <f>O306 / (1+INF_A)^(A306-1)</f>
        <v>0</v>
      </c>
      <c r="R306">
        <f>Q305 + K306</f>
        <v>0</v>
      </c>
      <c r="S306">
        <f>INT((A306-1)/12)+1</f>
        <v>0</v>
      </c>
    </row>
    <row r="307" spans="1:19">
      <c r="A307">
        <v>306</v>
      </c>
      <c r="B307">
        <f>TEXT(DATEVALUE(START&amp;"-01")+ (ROW()-2),"yyyy-mm")</f>
        <v>0</v>
      </c>
      <c r="C307">
        <f>INDEX(SEASON_FACTORS,MOD(A307-1,12)+1)</f>
        <v>0</v>
      </c>
      <c r="D307">
        <f>INT((A307-1)/12)</f>
        <v>0</v>
      </c>
      <c r="E307">
        <f>COUNTIF(THRESH_ABS,"&lt;="&amp;Q306)</f>
        <v>0</v>
      </c>
      <c r="F307">
        <f>(1+STEP)^(C307+D307)</f>
        <v>0</v>
      </c>
      <c r="G307">
        <f>P0_M2 * (1+INF_A)^(A307-1) * (1+PLUS_A)^(A307-1) * E307</f>
        <v>0</v>
      </c>
      <c r="H307">
        <f>F307 / (1+INF_A)^(A307-1)</f>
        <v>0</v>
      </c>
      <c r="I307">
        <f>F307 / PREF</f>
        <v>0</v>
      </c>
      <c r="J307">
        <f>H307 ^ EPS</f>
        <v>0</v>
      </c>
      <c r="K307">
        <f>THETA * B307 * I307</f>
        <v>0</v>
      </c>
      <c r="L307">
        <f>MIN(M306, J307 * CITY_A)</f>
        <v>0</v>
      </c>
      <c r="M307">
        <f>K307 * SIZE_M2</f>
        <v>0</v>
      </c>
      <c r="N307">
        <f>M306 - K307</f>
        <v>0</v>
      </c>
      <c r="O307">
        <f>SIZE_M2 * F307</f>
        <v>0</v>
      </c>
      <c r="P307">
        <f>L307 * F307</f>
        <v>0</v>
      </c>
      <c r="Q307">
        <f>O307 / (1+INF_A)^(A307-1)</f>
        <v>0</v>
      </c>
      <c r="R307">
        <f>Q306 + K307</f>
        <v>0</v>
      </c>
      <c r="S307">
        <f>INT((A307-1)/12)+1</f>
        <v>0</v>
      </c>
    </row>
    <row r="308" spans="1:19">
      <c r="A308">
        <v>307</v>
      </c>
      <c r="B308">
        <f>TEXT(DATEVALUE(START&amp;"-01")+ (ROW()-2),"yyyy-mm")</f>
        <v>0</v>
      </c>
      <c r="C308">
        <f>INDEX(SEASON_FACTORS,MOD(A308-1,12)+1)</f>
        <v>0</v>
      </c>
      <c r="D308">
        <f>INT((A308-1)/12)</f>
        <v>0</v>
      </c>
      <c r="E308">
        <f>COUNTIF(THRESH_ABS,"&lt;="&amp;Q307)</f>
        <v>0</v>
      </c>
      <c r="F308">
        <f>(1+STEP)^(C308+D308)</f>
        <v>0</v>
      </c>
      <c r="G308">
        <f>P0_M2 * (1+INF_A)^(A308-1) * (1+PLUS_A)^(A308-1) * E308</f>
        <v>0</v>
      </c>
      <c r="H308">
        <f>F308 / (1+INF_A)^(A308-1)</f>
        <v>0</v>
      </c>
      <c r="I308">
        <f>F308 / PREF</f>
        <v>0</v>
      </c>
      <c r="J308">
        <f>H308 ^ EPS</f>
        <v>0</v>
      </c>
      <c r="K308">
        <f>THETA * B308 * I308</f>
        <v>0</v>
      </c>
      <c r="L308">
        <f>MIN(M307, J308 * CITY_A)</f>
        <v>0</v>
      </c>
      <c r="M308">
        <f>K308 * SIZE_M2</f>
        <v>0</v>
      </c>
      <c r="N308">
        <f>M307 - K308</f>
        <v>0</v>
      </c>
      <c r="O308">
        <f>SIZE_M2 * F308</f>
        <v>0</v>
      </c>
      <c r="P308">
        <f>L308 * F308</f>
        <v>0</v>
      </c>
      <c r="Q308">
        <f>O308 / (1+INF_A)^(A308-1)</f>
        <v>0</v>
      </c>
      <c r="R308">
        <f>Q307 + K308</f>
        <v>0</v>
      </c>
      <c r="S308">
        <f>INT((A308-1)/12)+1</f>
        <v>0</v>
      </c>
    </row>
    <row r="309" spans="1:19">
      <c r="A309">
        <v>308</v>
      </c>
      <c r="B309">
        <f>TEXT(DATEVALUE(START&amp;"-01")+ (ROW()-2),"yyyy-mm")</f>
        <v>0</v>
      </c>
      <c r="C309">
        <f>INDEX(SEASON_FACTORS,MOD(A309-1,12)+1)</f>
        <v>0</v>
      </c>
      <c r="D309">
        <f>INT((A309-1)/12)</f>
        <v>0</v>
      </c>
      <c r="E309">
        <f>COUNTIF(THRESH_ABS,"&lt;="&amp;Q308)</f>
        <v>0</v>
      </c>
      <c r="F309">
        <f>(1+STEP)^(C309+D309)</f>
        <v>0</v>
      </c>
      <c r="G309">
        <f>P0_M2 * (1+INF_A)^(A309-1) * (1+PLUS_A)^(A309-1) * E309</f>
        <v>0</v>
      </c>
      <c r="H309">
        <f>F309 / (1+INF_A)^(A309-1)</f>
        <v>0</v>
      </c>
      <c r="I309">
        <f>F309 / PREF</f>
        <v>0</v>
      </c>
      <c r="J309">
        <f>H309 ^ EPS</f>
        <v>0</v>
      </c>
      <c r="K309">
        <f>THETA * B309 * I309</f>
        <v>0</v>
      </c>
      <c r="L309">
        <f>MIN(M308, J309 * CITY_A)</f>
        <v>0</v>
      </c>
      <c r="M309">
        <f>K309 * SIZE_M2</f>
        <v>0</v>
      </c>
      <c r="N309">
        <f>M308 - K309</f>
        <v>0</v>
      </c>
      <c r="O309">
        <f>SIZE_M2 * F309</f>
        <v>0</v>
      </c>
      <c r="P309">
        <f>L309 * F309</f>
        <v>0</v>
      </c>
      <c r="Q309">
        <f>O309 / (1+INF_A)^(A309-1)</f>
        <v>0</v>
      </c>
      <c r="R309">
        <f>Q308 + K309</f>
        <v>0</v>
      </c>
      <c r="S309">
        <f>INT((A309-1)/12)+1</f>
        <v>0</v>
      </c>
    </row>
    <row r="310" spans="1:19">
      <c r="A310">
        <v>309</v>
      </c>
      <c r="B310">
        <f>TEXT(DATEVALUE(START&amp;"-01")+ (ROW()-2),"yyyy-mm")</f>
        <v>0</v>
      </c>
      <c r="C310">
        <f>INDEX(SEASON_FACTORS,MOD(A310-1,12)+1)</f>
        <v>0</v>
      </c>
      <c r="D310">
        <f>INT((A310-1)/12)</f>
        <v>0</v>
      </c>
      <c r="E310">
        <f>COUNTIF(THRESH_ABS,"&lt;="&amp;Q309)</f>
        <v>0</v>
      </c>
      <c r="F310">
        <f>(1+STEP)^(C310+D310)</f>
        <v>0</v>
      </c>
      <c r="G310">
        <f>P0_M2 * (1+INF_A)^(A310-1) * (1+PLUS_A)^(A310-1) * E310</f>
        <v>0</v>
      </c>
      <c r="H310">
        <f>F310 / (1+INF_A)^(A310-1)</f>
        <v>0</v>
      </c>
      <c r="I310">
        <f>F310 / PREF</f>
        <v>0</v>
      </c>
      <c r="J310">
        <f>H310 ^ EPS</f>
        <v>0</v>
      </c>
      <c r="K310">
        <f>THETA * B310 * I310</f>
        <v>0</v>
      </c>
      <c r="L310">
        <f>MIN(M309, J310 * CITY_A)</f>
        <v>0</v>
      </c>
      <c r="M310">
        <f>K310 * SIZE_M2</f>
        <v>0</v>
      </c>
      <c r="N310">
        <f>M309 - K310</f>
        <v>0</v>
      </c>
      <c r="O310">
        <f>SIZE_M2 * F310</f>
        <v>0</v>
      </c>
      <c r="P310">
        <f>L310 * F310</f>
        <v>0</v>
      </c>
      <c r="Q310">
        <f>O310 / (1+INF_A)^(A310-1)</f>
        <v>0</v>
      </c>
      <c r="R310">
        <f>Q309 + K310</f>
        <v>0</v>
      </c>
      <c r="S310">
        <f>INT((A310-1)/12)+1</f>
        <v>0</v>
      </c>
    </row>
    <row r="311" spans="1:19">
      <c r="A311">
        <v>310</v>
      </c>
      <c r="B311">
        <f>TEXT(DATEVALUE(START&amp;"-01")+ (ROW()-2),"yyyy-mm")</f>
        <v>0</v>
      </c>
      <c r="C311">
        <f>INDEX(SEASON_FACTORS,MOD(A311-1,12)+1)</f>
        <v>0</v>
      </c>
      <c r="D311">
        <f>INT((A311-1)/12)</f>
        <v>0</v>
      </c>
      <c r="E311">
        <f>COUNTIF(THRESH_ABS,"&lt;="&amp;Q310)</f>
        <v>0</v>
      </c>
      <c r="F311">
        <f>(1+STEP)^(C311+D311)</f>
        <v>0</v>
      </c>
      <c r="G311">
        <f>P0_M2 * (1+INF_A)^(A311-1) * (1+PLUS_A)^(A311-1) * E311</f>
        <v>0</v>
      </c>
      <c r="H311">
        <f>F311 / (1+INF_A)^(A311-1)</f>
        <v>0</v>
      </c>
      <c r="I311">
        <f>F311 / PREF</f>
        <v>0</v>
      </c>
      <c r="J311">
        <f>H311 ^ EPS</f>
        <v>0</v>
      </c>
      <c r="K311">
        <f>THETA * B311 * I311</f>
        <v>0</v>
      </c>
      <c r="L311">
        <f>MIN(M310, J311 * CITY_A)</f>
        <v>0</v>
      </c>
      <c r="M311">
        <f>K311 * SIZE_M2</f>
        <v>0</v>
      </c>
      <c r="N311">
        <f>M310 - K311</f>
        <v>0</v>
      </c>
      <c r="O311">
        <f>SIZE_M2 * F311</f>
        <v>0</v>
      </c>
      <c r="P311">
        <f>L311 * F311</f>
        <v>0</v>
      </c>
      <c r="Q311">
        <f>O311 / (1+INF_A)^(A311-1)</f>
        <v>0</v>
      </c>
      <c r="R311">
        <f>Q310 + K311</f>
        <v>0</v>
      </c>
      <c r="S311">
        <f>INT((A311-1)/12)+1</f>
        <v>0</v>
      </c>
    </row>
    <row r="312" spans="1:19">
      <c r="A312">
        <v>311</v>
      </c>
      <c r="B312">
        <f>TEXT(DATEVALUE(START&amp;"-01")+ (ROW()-2),"yyyy-mm")</f>
        <v>0</v>
      </c>
      <c r="C312">
        <f>INDEX(SEASON_FACTORS,MOD(A312-1,12)+1)</f>
        <v>0</v>
      </c>
      <c r="D312">
        <f>INT((A312-1)/12)</f>
        <v>0</v>
      </c>
      <c r="E312">
        <f>COUNTIF(THRESH_ABS,"&lt;="&amp;Q311)</f>
        <v>0</v>
      </c>
      <c r="F312">
        <f>(1+STEP)^(C312+D312)</f>
        <v>0</v>
      </c>
      <c r="G312">
        <f>P0_M2 * (1+INF_A)^(A312-1) * (1+PLUS_A)^(A312-1) * E312</f>
        <v>0</v>
      </c>
      <c r="H312">
        <f>F312 / (1+INF_A)^(A312-1)</f>
        <v>0</v>
      </c>
      <c r="I312">
        <f>F312 / PREF</f>
        <v>0</v>
      </c>
      <c r="J312">
        <f>H312 ^ EPS</f>
        <v>0</v>
      </c>
      <c r="K312">
        <f>THETA * B312 * I312</f>
        <v>0</v>
      </c>
      <c r="L312">
        <f>MIN(M311, J312 * CITY_A)</f>
        <v>0</v>
      </c>
      <c r="M312">
        <f>K312 * SIZE_M2</f>
        <v>0</v>
      </c>
      <c r="N312">
        <f>M311 - K312</f>
        <v>0</v>
      </c>
      <c r="O312">
        <f>SIZE_M2 * F312</f>
        <v>0</v>
      </c>
      <c r="P312">
        <f>L312 * F312</f>
        <v>0</v>
      </c>
      <c r="Q312">
        <f>O312 / (1+INF_A)^(A312-1)</f>
        <v>0</v>
      </c>
      <c r="R312">
        <f>Q311 + K312</f>
        <v>0</v>
      </c>
      <c r="S312">
        <f>INT((A312-1)/12)+1</f>
        <v>0</v>
      </c>
    </row>
    <row r="313" spans="1:19">
      <c r="A313">
        <v>312</v>
      </c>
      <c r="B313">
        <f>TEXT(DATEVALUE(START&amp;"-01")+ (ROW()-2),"yyyy-mm")</f>
        <v>0</v>
      </c>
      <c r="C313">
        <f>INDEX(SEASON_FACTORS,MOD(A313-1,12)+1)</f>
        <v>0</v>
      </c>
      <c r="D313">
        <f>INT((A313-1)/12)</f>
        <v>0</v>
      </c>
      <c r="E313">
        <f>COUNTIF(THRESH_ABS,"&lt;="&amp;Q312)</f>
        <v>0</v>
      </c>
      <c r="F313">
        <f>(1+STEP)^(C313+D313)</f>
        <v>0</v>
      </c>
      <c r="G313">
        <f>P0_M2 * (1+INF_A)^(A313-1) * (1+PLUS_A)^(A313-1) * E313</f>
        <v>0</v>
      </c>
      <c r="H313">
        <f>F313 / (1+INF_A)^(A313-1)</f>
        <v>0</v>
      </c>
      <c r="I313">
        <f>F313 / PREF</f>
        <v>0</v>
      </c>
      <c r="J313">
        <f>H313 ^ EPS</f>
        <v>0</v>
      </c>
      <c r="K313">
        <f>THETA * B313 * I313</f>
        <v>0</v>
      </c>
      <c r="L313">
        <f>MIN(M312, J313 * CITY_A)</f>
        <v>0</v>
      </c>
      <c r="M313">
        <f>K313 * SIZE_M2</f>
        <v>0</v>
      </c>
      <c r="N313">
        <f>M312 - K313</f>
        <v>0</v>
      </c>
      <c r="O313">
        <f>SIZE_M2 * F313</f>
        <v>0</v>
      </c>
      <c r="P313">
        <f>L313 * F313</f>
        <v>0</v>
      </c>
      <c r="Q313">
        <f>O313 / (1+INF_A)^(A313-1)</f>
        <v>0</v>
      </c>
      <c r="R313">
        <f>Q312 + K313</f>
        <v>0</v>
      </c>
      <c r="S313">
        <f>INT((A313-1)/12)+1</f>
        <v>0</v>
      </c>
    </row>
    <row r="314" spans="1:19">
      <c r="A314">
        <v>313</v>
      </c>
      <c r="B314">
        <f>TEXT(DATEVALUE(START&amp;"-01")+ (ROW()-2),"yyyy-mm")</f>
        <v>0</v>
      </c>
      <c r="C314">
        <f>INDEX(SEASON_FACTORS,MOD(A314-1,12)+1)</f>
        <v>0</v>
      </c>
      <c r="D314">
        <f>INT((A314-1)/12)</f>
        <v>0</v>
      </c>
      <c r="E314">
        <f>COUNTIF(THRESH_ABS,"&lt;="&amp;Q313)</f>
        <v>0</v>
      </c>
      <c r="F314">
        <f>(1+STEP)^(C314+D314)</f>
        <v>0</v>
      </c>
      <c r="G314">
        <f>P0_M2 * (1+INF_A)^(A314-1) * (1+PLUS_A)^(A314-1) * E314</f>
        <v>0</v>
      </c>
      <c r="H314">
        <f>F314 / (1+INF_A)^(A314-1)</f>
        <v>0</v>
      </c>
      <c r="I314">
        <f>F314 / PREF</f>
        <v>0</v>
      </c>
      <c r="J314">
        <f>H314 ^ EPS</f>
        <v>0</v>
      </c>
      <c r="K314">
        <f>THETA * B314 * I314</f>
        <v>0</v>
      </c>
      <c r="L314">
        <f>MIN(M313, J314 * CITY_A)</f>
        <v>0</v>
      </c>
      <c r="M314">
        <f>K314 * SIZE_M2</f>
        <v>0</v>
      </c>
      <c r="N314">
        <f>M313 - K314</f>
        <v>0</v>
      </c>
      <c r="O314">
        <f>SIZE_M2 * F314</f>
        <v>0</v>
      </c>
      <c r="P314">
        <f>L314 * F314</f>
        <v>0</v>
      </c>
      <c r="Q314">
        <f>O314 / (1+INF_A)^(A314-1)</f>
        <v>0</v>
      </c>
      <c r="R314">
        <f>Q313 + K314</f>
        <v>0</v>
      </c>
      <c r="S314">
        <f>INT((A314-1)/12)+1</f>
        <v>0</v>
      </c>
    </row>
    <row r="315" spans="1:19">
      <c r="A315">
        <v>314</v>
      </c>
      <c r="B315">
        <f>TEXT(DATEVALUE(START&amp;"-01")+ (ROW()-2),"yyyy-mm")</f>
        <v>0</v>
      </c>
      <c r="C315">
        <f>INDEX(SEASON_FACTORS,MOD(A315-1,12)+1)</f>
        <v>0</v>
      </c>
      <c r="D315">
        <f>INT((A315-1)/12)</f>
        <v>0</v>
      </c>
      <c r="E315">
        <f>COUNTIF(THRESH_ABS,"&lt;="&amp;Q314)</f>
        <v>0</v>
      </c>
      <c r="F315">
        <f>(1+STEP)^(C315+D315)</f>
        <v>0</v>
      </c>
      <c r="G315">
        <f>P0_M2 * (1+INF_A)^(A315-1) * (1+PLUS_A)^(A315-1) * E315</f>
        <v>0</v>
      </c>
      <c r="H315">
        <f>F315 / (1+INF_A)^(A315-1)</f>
        <v>0</v>
      </c>
      <c r="I315">
        <f>F315 / PREF</f>
        <v>0</v>
      </c>
      <c r="J315">
        <f>H315 ^ EPS</f>
        <v>0</v>
      </c>
      <c r="K315">
        <f>THETA * B315 * I315</f>
        <v>0</v>
      </c>
      <c r="L315">
        <f>MIN(M314, J315 * CITY_A)</f>
        <v>0</v>
      </c>
      <c r="M315">
        <f>K315 * SIZE_M2</f>
        <v>0</v>
      </c>
      <c r="N315">
        <f>M314 - K315</f>
        <v>0</v>
      </c>
      <c r="O315">
        <f>SIZE_M2 * F315</f>
        <v>0</v>
      </c>
      <c r="P315">
        <f>L315 * F315</f>
        <v>0</v>
      </c>
      <c r="Q315">
        <f>O315 / (1+INF_A)^(A315-1)</f>
        <v>0</v>
      </c>
      <c r="R315">
        <f>Q314 + K315</f>
        <v>0</v>
      </c>
      <c r="S315">
        <f>INT((A315-1)/12)+1</f>
        <v>0</v>
      </c>
    </row>
    <row r="316" spans="1:19">
      <c r="A316">
        <v>315</v>
      </c>
      <c r="B316">
        <f>TEXT(DATEVALUE(START&amp;"-01")+ (ROW()-2),"yyyy-mm")</f>
        <v>0</v>
      </c>
      <c r="C316">
        <f>INDEX(SEASON_FACTORS,MOD(A316-1,12)+1)</f>
        <v>0</v>
      </c>
      <c r="D316">
        <f>INT((A316-1)/12)</f>
        <v>0</v>
      </c>
      <c r="E316">
        <f>COUNTIF(THRESH_ABS,"&lt;="&amp;Q315)</f>
        <v>0</v>
      </c>
      <c r="F316">
        <f>(1+STEP)^(C316+D316)</f>
        <v>0</v>
      </c>
      <c r="G316">
        <f>P0_M2 * (1+INF_A)^(A316-1) * (1+PLUS_A)^(A316-1) * E316</f>
        <v>0</v>
      </c>
      <c r="H316">
        <f>F316 / (1+INF_A)^(A316-1)</f>
        <v>0</v>
      </c>
      <c r="I316">
        <f>F316 / PREF</f>
        <v>0</v>
      </c>
      <c r="J316">
        <f>H316 ^ EPS</f>
        <v>0</v>
      </c>
      <c r="K316">
        <f>THETA * B316 * I316</f>
        <v>0</v>
      </c>
      <c r="L316">
        <f>MIN(M315, J316 * CITY_A)</f>
        <v>0</v>
      </c>
      <c r="M316">
        <f>K316 * SIZE_M2</f>
        <v>0</v>
      </c>
      <c r="N316">
        <f>M315 - K316</f>
        <v>0</v>
      </c>
      <c r="O316">
        <f>SIZE_M2 * F316</f>
        <v>0</v>
      </c>
      <c r="P316">
        <f>L316 * F316</f>
        <v>0</v>
      </c>
      <c r="Q316">
        <f>O316 / (1+INF_A)^(A316-1)</f>
        <v>0</v>
      </c>
      <c r="R316">
        <f>Q315 + K316</f>
        <v>0</v>
      </c>
      <c r="S316">
        <f>INT((A316-1)/12)+1</f>
        <v>0</v>
      </c>
    </row>
    <row r="317" spans="1:19">
      <c r="A317">
        <v>316</v>
      </c>
      <c r="B317">
        <f>TEXT(DATEVALUE(START&amp;"-01")+ (ROW()-2),"yyyy-mm")</f>
        <v>0</v>
      </c>
      <c r="C317">
        <f>INDEX(SEASON_FACTORS,MOD(A317-1,12)+1)</f>
        <v>0</v>
      </c>
      <c r="D317">
        <f>INT((A317-1)/12)</f>
        <v>0</v>
      </c>
      <c r="E317">
        <f>COUNTIF(THRESH_ABS,"&lt;="&amp;Q316)</f>
        <v>0</v>
      </c>
      <c r="F317">
        <f>(1+STEP)^(C317+D317)</f>
        <v>0</v>
      </c>
      <c r="G317">
        <f>P0_M2 * (1+INF_A)^(A317-1) * (1+PLUS_A)^(A317-1) * E317</f>
        <v>0</v>
      </c>
      <c r="H317">
        <f>F317 / (1+INF_A)^(A317-1)</f>
        <v>0</v>
      </c>
      <c r="I317">
        <f>F317 / PREF</f>
        <v>0</v>
      </c>
      <c r="J317">
        <f>H317 ^ EPS</f>
        <v>0</v>
      </c>
      <c r="K317">
        <f>THETA * B317 * I317</f>
        <v>0</v>
      </c>
      <c r="L317">
        <f>MIN(M316, J317 * CITY_A)</f>
        <v>0</v>
      </c>
      <c r="M317">
        <f>K317 * SIZE_M2</f>
        <v>0</v>
      </c>
      <c r="N317">
        <f>M316 - K317</f>
        <v>0</v>
      </c>
      <c r="O317">
        <f>SIZE_M2 * F317</f>
        <v>0</v>
      </c>
      <c r="P317">
        <f>L317 * F317</f>
        <v>0</v>
      </c>
      <c r="Q317">
        <f>O317 / (1+INF_A)^(A317-1)</f>
        <v>0</v>
      </c>
      <c r="R317">
        <f>Q316 + K317</f>
        <v>0</v>
      </c>
      <c r="S317">
        <f>INT((A317-1)/12)+1</f>
        <v>0</v>
      </c>
    </row>
    <row r="318" spans="1:19">
      <c r="A318">
        <v>317</v>
      </c>
      <c r="B318">
        <f>TEXT(DATEVALUE(START&amp;"-01")+ (ROW()-2),"yyyy-mm")</f>
        <v>0</v>
      </c>
      <c r="C318">
        <f>INDEX(SEASON_FACTORS,MOD(A318-1,12)+1)</f>
        <v>0</v>
      </c>
      <c r="D318">
        <f>INT((A318-1)/12)</f>
        <v>0</v>
      </c>
      <c r="E318">
        <f>COUNTIF(THRESH_ABS,"&lt;="&amp;Q317)</f>
        <v>0</v>
      </c>
      <c r="F318">
        <f>(1+STEP)^(C318+D318)</f>
        <v>0</v>
      </c>
      <c r="G318">
        <f>P0_M2 * (1+INF_A)^(A318-1) * (1+PLUS_A)^(A318-1) * E318</f>
        <v>0</v>
      </c>
      <c r="H318">
        <f>F318 / (1+INF_A)^(A318-1)</f>
        <v>0</v>
      </c>
      <c r="I318">
        <f>F318 / PREF</f>
        <v>0</v>
      </c>
      <c r="J318">
        <f>H318 ^ EPS</f>
        <v>0</v>
      </c>
      <c r="K318">
        <f>THETA * B318 * I318</f>
        <v>0</v>
      </c>
      <c r="L318">
        <f>MIN(M317, J318 * CITY_A)</f>
        <v>0</v>
      </c>
      <c r="M318">
        <f>K318 * SIZE_M2</f>
        <v>0</v>
      </c>
      <c r="N318">
        <f>M317 - K318</f>
        <v>0</v>
      </c>
      <c r="O318">
        <f>SIZE_M2 * F318</f>
        <v>0</v>
      </c>
      <c r="P318">
        <f>L318 * F318</f>
        <v>0</v>
      </c>
      <c r="Q318">
        <f>O318 / (1+INF_A)^(A318-1)</f>
        <v>0</v>
      </c>
      <c r="R318">
        <f>Q317 + K318</f>
        <v>0</v>
      </c>
      <c r="S318">
        <f>INT((A318-1)/12)+1</f>
        <v>0</v>
      </c>
    </row>
    <row r="319" spans="1:19">
      <c r="A319">
        <v>318</v>
      </c>
      <c r="B319">
        <f>TEXT(DATEVALUE(START&amp;"-01")+ (ROW()-2),"yyyy-mm")</f>
        <v>0</v>
      </c>
      <c r="C319">
        <f>INDEX(SEASON_FACTORS,MOD(A319-1,12)+1)</f>
        <v>0</v>
      </c>
      <c r="D319">
        <f>INT((A319-1)/12)</f>
        <v>0</v>
      </c>
      <c r="E319">
        <f>COUNTIF(THRESH_ABS,"&lt;="&amp;Q318)</f>
        <v>0</v>
      </c>
      <c r="F319">
        <f>(1+STEP)^(C319+D319)</f>
        <v>0</v>
      </c>
      <c r="G319">
        <f>P0_M2 * (1+INF_A)^(A319-1) * (1+PLUS_A)^(A319-1) * E319</f>
        <v>0</v>
      </c>
      <c r="H319">
        <f>F319 / (1+INF_A)^(A319-1)</f>
        <v>0</v>
      </c>
      <c r="I319">
        <f>F319 / PREF</f>
        <v>0</v>
      </c>
      <c r="J319">
        <f>H319 ^ EPS</f>
        <v>0</v>
      </c>
      <c r="K319">
        <f>THETA * B319 * I319</f>
        <v>0</v>
      </c>
      <c r="L319">
        <f>MIN(M318, J319 * CITY_A)</f>
        <v>0</v>
      </c>
      <c r="M319">
        <f>K319 * SIZE_M2</f>
        <v>0</v>
      </c>
      <c r="N319">
        <f>M318 - K319</f>
        <v>0</v>
      </c>
      <c r="O319">
        <f>SIZE_M2 * F319</f>
        <v>0</v>
      </c>
      <c r="P319">
        <f>L319 * F319</f>
        <v>0</v>
      </c>
      <c r="Q319">
        <f>O319 / (1+INF_A)^(A319-1)</f>
        <v>0</v>
      </c>
      <c r="R319">
        <f>Q318 + K319</f>
        <v>0</v>
      </c>
      <c r="S319">
        <f>INT((A319-1)/12)+1</f>
        <v>0</v>
      </c>
    </row>
    <row r="320" spans="1:19">
      <c r="A320">
        <v>319</v>
      </c>
      <c r="B320">
        <f>TEXT(DATEVALUE(START&amp;"-01")+ (ROW()-2),"yyyy-mm")</f>
        <v>0</v>
      </c>
      <c r="C320">
        <f>INDEX(SEASON_FACTORS,MOD(A320-1,12)+1)</f>
        <v>0</v>
      </c>
      <c r="D320">
        <f>INT((A320-1)/12)</f>
        <v>0</v>
      </c>
      <c r="E320">
        <f>COUNTIF(THRESH_ABS,"&lt;="&amp;Q319)</f>
        <v>0</v>
      </c>
      <c r="F320">
        <f>(1+STEP)^(C320+D320)</f>
        <v>0</v>
      </c>
      <c r="G320">
        <f>P0_M2 * (1+INF_A)^(A320-1) * (1+PLUS_A)^(A320-1) * E320</f>
        <v>0</v>
      </c>
      <c r="H320">
        <f>F320 / (1+INF_A)^(A320-1)</f>
        <v>0</v>
      </c>
      <c r="I320">
        <f>F320 / PREF</f>
        <v>0</v>
      </c>
      <c r="J320">
        <f>H320 ^ EPS</f>
        <v>0</v>
      </c>
      <c r="K320">
        <f>THETA * B320 * I320</f>
        <v>0</v>
      </c>
      <c r="L320">
        <f>MIN(M319, J320 * CITY_A)</f>
        <v>0</v>
      </c>
      <c r="M320">
        <f>K320 * SIZE_M2</f>
        <v>0</v>
      </c>
      <c r="N320">
        <f>M319 - K320</f>
        <v>0</v>
      </c>
      <c r="O320">
        <f>SIZE_M2 * F320</f>
        <v>0</v>
      </c>
      <c r="P320">
        <f>L320 * F320</f>
        <v>0</v>
      </c>
      <c r="Q320">
        <f>O320 / (1+INF_A)^(A320-1)</f>
        <v>0</v>
      </c>
      <c r="R320">
        <f>Q319 + K320</f>
        <v>0</v>
      </c>
      <c r="S320">
        <f>INT((A320-1)/12)+1</f>
        <v>0</v>
      </c>
    </row>
    <row r="321" spans="1:19">
      <c r="A321">
        <v>320</v>
      </c>
      <c r="B321">
        <f>TEXT(DATEVALUE(START&amp;"-01")+ (ROW()-2),"yyyy-mm")</f>
        <v>0</v>
      </c>
      <c r="C321">
        <f>INDEX(SEASON_FACTORS,MOD(A321-1,12)+1)</f>
        <v>0</v>
      </c>
      <c r="D321">
        <f>INT((A321-1)/12)</f>
        <v>0</v>
      </c>
      <c r="E321">
        <f>COUNTIF(THRESH_ABS,"&lt;="&amp;Q320)</f>
        <v>0</v>
      </c>
      <c r="F321">
        <f>(1+STEP)^(C321+D321)</f>
        <v>0</v>
      </c>
      <c r="G321">
        <f>P0_M2 * (1+INF_A)^(A321-1) * (1+PLUS_A)^(A321-1) * E321</f>
        <v>0</v>
      </c>
      <c r="H321">
        <f>F321 / (1+INF_A)^(A321-1)</f>
        <v>0</v>
      </c>
      <c r="I321">
        <f>F321 / PREF</f>
        <v>0</v>
      </c>
      <c r="J321">
        <f>H321 ^ EPS</f>
        <v>0</v>
      </c>
      <c r="K321">
        <f>THETA * B321 * I321</f>
        <v>0</v>
      </c>
      <c r="L321">
        <f>MIN(M320, J321 * CITY_A)</f>
        <v>0</v>
      </c>
      <c r="M321">
        <f>K321 * SIZE_M2</f>
        <v>0</v>
      </c>
      <c r="N321">
        <f>M320 - K321</f>
        <v>0</v>
      </c>
      <c r="O321">
        <f>SIZE_M2 * F321</f>
        <v>0</v>
      </c>
      <c r="P321">
        <f>L321 * F321</f>
        <v>0</v>
      </c>
      <c r="Q321">
        <f>O321 / (1+INF_A)^(A321-1)</f>
        <v>0</v>
      </c>
      <c r="R321">
        <f>Q320 + K321</f>
        <v>0</v>
      </c>
      <c r="S321">
        <f>INT((A321-1)/12)+1</f>
        <v>0</v>
      </c>
    </row>
    <row r="322" spans="1:19">
      <c r="A322">
        <v>321</v>
      </c>
      <c r="B322">
        <f>TEXT(DATEVALUE(START&amp;"-01")+ (ROW()-2),"yyyy-mm")</f>
        <v>0</v>
      </c>
      <c r="C322">
        <f>INDEX(SEASON_FACTORS,MOD(A322-1,12)+1)</f>
        <v>0</v>
      </c>
      <c r="D322">
        <f>INT((A322-1)/12)</f>
        <v>0</v>
      </c>
      <c r="E322">
        <f>COUNTIF(THRESH_ABS,"&lt;="&amp;Q321)</f>
        <v>0</v>
      </c>
      <c r="F322">
        <f>(1+STEP)^(C322+D322)</f>
        <v>0</v>
      </c>
      <c r="G322">
        <f>P0_M2 * (1+INF_A)^(A322-1) * (1+PLUS_A)^(A322-1) * E322</f>
        <v>0</v>
      </c>
      <c r="H322">
        <f>F322 / (1+INF_A)^(A322-1)</f>
        <v>0</v>
      </c>
      <c r="I322">
        <f>F322 / PREF</f>
        <v>0</v>
      </c>
      <c r="J322">
        <f>H322 ^ EPS</f>
        <v>0</v>
      </c>
      <c r="K322">
        <f>THETA * B322 * I322</f>
        <v>0</v>
      </c>
      <c r="L322">
        <f>MIN(M321, J322 * CITY_A)</f>
        <v>0</v>
      </c>
      <c r="M322">
        <f>K322 * SIZE_M2</f>
        <v>0</v>
      </c>
      <c r="N322">
        <f>M321 - K322</f>
        <v>0</v>
      </c>
      <c r="O322">
        <f>SIZE_M2 * F322</f>
        <v>0</v>
      </c>
      <c r="P322">
        <f>L322 * F322</f>
        <v>0</v>
      </c>
      <c r="Q322">
        <f>O322 / (1+INF_A)^(A322-1)</f>
        <v>0</v>
      </c>
      <c r="R322">
        <f>Q321 + K322</f>
        <v>0</v>
      </c>
      <c r="S322">
        <f>INT((A322-1)/12)+1</f>
        <v>0</v>
      </c>
    </row>
    <row r="323" spans="1:19">
      <c r="A323">
        <v>322</v>
      </c>
      <c r="B323">
        <f>TEXT(DATEVALUE(START&amp;"-01")+ (ROW()-2),"yyyy-mm")</f>
        <v>0</v>
      </c>
      <c r="C323">
        <f>INDEX(SEASON_FACTORS,MOD(A323-1,12)+1)</f>
        <v>0</v>
      </c>
      <c r="D323">
        <f>INT((A323-1)/12)</f>
        <v>0</v>
      </c>
      <c r="E323">
        <f>COUNTIF(THRESH_ABS,"&lt;="&amp;Q322)</f>
        <v>0</v>
      </c>
      <c r="F323">
        <f>(1+STEP)^(C323+D323)</f>
        <v>0</v>
      </c>
      <c r="G323">
        <f>P0_M2 * (1+INF_A)^(A323-1) * (1+PLUS_A)^(A323-1) * E323</f>
        <v>0</v>
      </c>
      <c r="H323">
        <f>F323 / (1+INF_A)^(A323-1)</f>
        <v>0</v>
      </c>
      <c r="I323">
        <f>F323 / PREF</f>
        <v>0</v>
      </c>
      <c r="J323">
        <f>H323 ^ EPS</f>
        <v>0</v>
      </c>
      <c r="K323">
        <f>THETA * B323 * I323</f>
        <v>0</v>
      </c>
      <c r="L323">
        <f>MIN(M322, J323 * CITY_A)</f>
        <v>0</v>
      </c>
      <c r="M323">
        <f>K323 * SIZE_M2</f>
        <v>0</v>
      </c>
      <c r="N323">
        <f>M322 - K323</f>
        <v>0</v>
      </c>
      <c r="O323">
        <f>SIZE_M2 * F323</f>
        <v>0</v>
      </c>
      <c r="P323">
        <f>L323 * F323</f>
        <v>0</v>
      </c>
      <c r="Q323">
        <f>O323 / (1+INF_A)^(A323-1)</f>
        <v>0</v>
      </c>
      <c r="R323">
        <f>Q322 + K323</f>
        <v>0</v>
      </c>
      <c r="S323">
        <f>INT((A323-1)/12)+1</f>
        <v>0</v>
      </c>
    </row>
    <row r="324" spans="1:19">
      <c r="A324">
        <v>323</v>
      </c>
      <c r="B324">
        <f>TEXT(DATEVALUE(START&amp;"-01")+ (ROW()-2),"yyyy-mm")</f>
        <v>0</v>
      </c>
      <c r="C324">
        <f>INDEX(SEASON_FACTORS,MOD(A324-1,12)+1)</f>
        <v>0</v>
      </c>
      <c r="D324">
        <f>INT((A324-1)/12)</f>
        <v>0</v>
      </c>
      <c r="E324">
        <f>COUNTIF(THRESH_ABS,"&lt;="&amp;Q323)</f>
        <v>0</v>
      </c>
      <c r="F324">
        <f>(1+STEP)^(C324+D324)</f>
        <v>0</v>
      </c>
      <c r="G324">
        <f>P0_M2 * (1+INF_A)^(A324-1) * (1+PLUS_A)^(A324-1) * E324</f>
        <v>0</v>
      </c>
      <c r="H324">
        <f>F324 / (1+INF_A)^(A324-1)</f>
        <v>0</v>
      </c>
      <c r="I324">
        <f>F324 / PREF</f>
        <v>0</v>
      </c>
      <c r="J324">
        <f>H324 ^ EPS</f>
        <v>0</v>
      </c>
      <c r="K324">
        <f>THETA * B324 * I324</f>
        <v>0</v>
      </c>
      <c r="L324">
        <f>MIN(M323, J324 * CITY_A)</f>
        <v>0</v>
      </c>
      <c r="M324">
        <f>K324 * SIZE_M2</f>
        <v>0</v>
      </c>
      <c r="N324">
        <f>M323 - K324</f>
        <v>0</v>
      </c>
      <c r="O324">
        <f>SIZE_M2 * F324</f>
        <v>0</v>
      </c>
      <c r="P324">
        <f>L324 * F324</f>
        <v>0</v>
      </c>
      <c r="Q324">
        <f>O324 / (1+INF_A)^(A324-1)</f>
        <v>0</v>
      </c>
      <c r="R324">
        <f>Q323 + K324</f>
        <v>0</v>
      </c>
      <c r="S324">
        <f>INT((A324-1)/12)+1</f>
        <v>0</v>
      </c>
    </row>
    <row r="325" spans="1:19">
      <c r="A325">
        <v>324</v>
      </c>
      <c r="B325">
        <f>TEXT(DATEVALUE(START&amp;"-01")+ (ROW()-2),"yyyy-mm")</f>
        <v>0</v>
      </c>
      <c r="C325">
        <f>INDEX(SEASON_FACTORS,MOD(A325-1,12)+1)</f>
        <v>0</v>
      </c>
      <c r="D325">
        <f>INT((A325-1)/12)</f>
        <v>0</v>
      </c>
      <c r="E325">
        <f>COUNTIF(THRESH_ABS,"&lt;="&amp;Q324)</f>
        <v>0</v>
      </c>
      <c r="F325">
        <f>(1+STEP)^(C325+D325)</f>
        <v>0</v>
      </c>
      <c r="G325">
        <f>P0_M2 * (1+INF_A)^(A325-1) * (1+PLUS_A)^(A325-1) * E325</f>
        <v>0</v>
      </c>
      <c r="H325">
        <f>F325 / (1+INF_A)^(A325-1)</f>
        <v>0</v>
      </c>
      <c r="I325">
        <f>F325 / PREF</f>
        <v>0</v>
      </c>
      <c r="J325">
        <f>H325 ^ EPS</f>
        <v>0</v>
      </c>
      <c r="K325">
        <f>THETA * B325 * I325</f>
        <v>0</v>
      </c>
      <c r="L325">
        <f>MIN(M324, J325 * CITY_A)</f>
        <v>0</v>
      </c>
      <c r="M325">
        <f>K325 * SIZE_M2</f>
        <v>0</v>
      </c>
      <c r="N325">
        <f>M324 - K325</f>
        <v>0</v>
      </c>
      <c r="O325">
        <f>SIZE_M2 * F325</f>
        <v>0</v>
      </c>
      <c r="P325">
        <f>L325 * F325</f>
        <v>0</v>
      </c>
      <c r="Q325">
        <f>O325 / (1+INF_A)^(A325-1)</f>
        <v>0</v>
      </c>
      <c r="R325">
        <f>Q324 + K325</f>
        <v>0</v>
      </c>
      <c r="S325">
        <f>INT((A325-1)/12)+1</f>
        <v>0</v>
      </c>
    </row>
    <row r="326" spans="1:19">
      <c r="A326">
        <v>325</v>
      </c>
      <c r="B326">
        <f>TEXT(DATEVALUE(START&amp;"-01")+ (ROW()-2),"yyyy-mm")</f>
        <v>0</v>
      </c>
      <c r="C326">
        <f>INDEX(SEASON_FACTORS,MOD(A326-1,12)+1)</f>
        <v>0</v>
      </c>
      <c r="D326">
        <f>INT((A326-1)/12)</f>
        <v>0</v>
      </c>
      <c r="E326">
        <f>COUNTIF(THRESH_ABS,"&lt;="&amp;Q325)</f>
        <v>0</v>
      </c>
      <c r="F326">
        <f>(1+STEP)^(C326+D326)</f>
        <v>0</v>
      </c>
      <c r="G326">
        <f>P0_M2 * (1+INF_A)^(A326-1) * (1+PLUS_A)^(A326-1) * E326</f>
        <v>0</v>
      </c>
      <c r="H326">
        <f>F326 / (1+INF_A)^(A326-1)</f>
        <v>0</v>
      </c>
      <c r="I326">
        <f>F326 / PREF</f>
        <v>0</v>
      </c>
      <c r="J326">
        <f>H326 ^ EPS</f>
        <v>0</v>
      </c>
      <c r="K326">
        <f>THETA * B326 * I326</f>
        <v>0</v>
      </c>
      <c r="L326">
        <f>MIN(M325, J326 * CITY_A)</f>
        <v>0</v>
      </c>
      <c r="M326">
        <f>K326 * SIZE_M2</f>
        <v>0</v>
      </c>
      <c r="N326">
        <f>M325 - K326</f>
        <v>0</v>
      </c>
      <c r="O326">
        <f>SIZE_M2 * F326</f>
        <v>0</v>
      </c>
      <c r="P326">
        <f>L326 * F326</f>
        <v>0</v>
      </c>
      <c r="Q326">
        <f>O326 / (1+INF_A)^(A326-1)</f>
        <v>0</v>
      </c>
      <c r="R326">
        <f>Q325 + K326</f>
        <v>0</v>
      </c>
      <c r="S326">
        <f>INT((A326-1)/12)+1</f>
        <v>0</v>
      </c>
    </row>
    <row r="327" spans="1:19">
      <c r="A327">
        <v>326</v>
      </c>
      <c r="B327">
        <f>TEXT(DATEVALUE(START&amp;"-01")+ (ROW()-2),"yyyy-mm")</f>
        <v>0</v>
      </c>
      <c r="C327">
        <f>INDEX(SEASON_FACTORS,MOD(A327-1,12)+1)</f>
        <v>0</v>
      </c>
      <c r="D327">
        <f>INT((A327-1)/12)</f>
        <v>0</v>
      </c>
      <c r="E327">
        <f>COUNTIF(THRESH_ABS,"&lt;="&amp;Q326)</f>
        <v>0</v>
      </c>
      <c r="F327">
        <f>(1+STEP)^(C327+D327)</f>
        <v>0</v>
      </c>
      <c r="G327">
        <f>P0_M2 * (1+INF_A)^(A327-1) * (1+PLUS_A)^(A327-1) * E327</f>
        <v>0</v>
      </c>
      <c r="H327">
        <f>F327 / (1+INF_A)^(A327-1)</f>
        <v>0</v>
      </c>
      <c r="I327">
        <f>F327 / PREF</f>
        <v>0</v>
      </c>
      <c r="J327">
        <f>H327 ^ EPS</f>
        <v>0</v>
      </c>
      <c r="K327">
        <f>THETA * B327 * I327</f>
        <v>0</v>
      </c>
      <c r="L327">
        <f>MIN(M326, J327 * CITY_A)</f>
        <v>0</v>
      </c>
      <c r="M327">
        <f>K327 * SIZE_M2</f>
        <v>0</v>
      </c>
      <c r="N327">
        <f>M326 - K327</f>
        <v>0</v>
      </c>
      <c r="O327">
        <f>SIZE_M2 * F327</f>
        <v>0</v>
      </c>
      <c r="P327">
        <f>L327 * F327</f>
        <v>0</v>
      </c>
      <c r="Q327">
        <f>O327 / (1+INF_A)^(A327-1)</f>
        <v>0</v>
      </c>
      <c r="R327">
        <f>Q326 + K327</f>
        <v>0</v>
      </c>
      <c r="S327">
        <f>INT((A327-1)/12)+1</f>
        <v>0</v>
      </c>
    </row>
    <row r="328" spans="1:19">
      <c r="A328">
        <v>327</v>
      </c>
      <c r="B328">
        <f>TEXT(DATEVALUE(START&amp;"-01")+ (ROW()-2),"yyyy-mm")</f>
        <v>0</v>
      </c>
      <c r="C328">
        <f>INDEX(SEASON_FACTORS,MOD(A328-1,12)+1)</f>
        <v>0</v>
      </c>
      <c r="D328">
        <f>INT((A328-1)/12)</f>
        <v>0</v>
      </c>
      <c r="E328">
        <f>COUNTIF(THRESH_ABS,"&lt;="&amp;Q327)</f>
        <v>0</v>
      </c>
      <c r="F328">
        <f>(1+STEP)^(C328+D328)</f>
        <v>0</v>
      </c>
      <c r="G328">
        <f>P0_M2 * (1+INF_A)^(A328-1) * (1+PLUS_A)^(A328-1) * E328</f>
        <v>0</v>
      </c>
      <c r="H328">
        <f>F328 / (1+INF_A)^(A328-1)</f>
        <v>0</v>
      </c>
      <c r="I328">
        <f>F328 / PREF</f>
        <v>0</v>
      </c>
      <c r="J328">
        <f>H328 ^ EPS</f>
        <v>0</v>
      </c>
      <c r="K328">
        <f>THETA * B328 * I328</f>
        <v>0</v>
      </c>
      <c r="L328">
        <f>MIN(M327, J328 * CITY_A)</f>
        <v>0</v>
      </c>
      <c r="M328">
        <f>K328 * SIZE_M2</f>
        <v>0</v>
      </c>
      <c r="N328">
        <f>M327 - K328</f>
        <v>0</v>
      </c>
      <c r="O328">
        <f>SIZE_M2 * F328</f>
        <v>0</v>
      </c>
      <c r="P328">
        <f>L328 * F328</f>
        <v>0</v>
      </c>
      <c r="Q328">
        <f>O328 / (1+INF_A)^(A328-1)</f>
        <v>0</v>
      </c>
      <c r="R328">
        <f>Q327 + K328</f>
        <v>0</v>
      </c>
      <c r="S328">
        <f>INT((A328-1)/12)+1</f>
        <v>0</v>
      </c>
    </row>
    <row r="329" spans="1:19">
      <c r="A329">
        <v>328</v>
      </c>
      <c r="B329">
        <f>TEXT(DATEVALUE(START&amp;"-01")+ (ROW()-2),"yyyy-mm")</f>
        <v>0</v>
      </c>
      <c r="C329">
        <f>INDEX(SEASON_FACTORS,MOD(A329-1,12)+1)</f>
        <v>0</v>
      </c>
      <c r="D329">
        <f>INT((A329-1)/12)</f>
        <v>0</v>
      </c>
      <c r="E329">
        <f>COUNTIF(THRESH_ABS,"&lt;="&amp;Q328)</f>
        <v>0</v>
      </c>
      <c r="F329">
        <f>(1+STEP)^(C329+D329)</f>
        <v>0</v>
      </c>
      <c r="G329">
        <f>P0_M2 * (1+INF_A)^(A329-1) * (1+PLUS_A)^(A329-1) * E329</f>
        <v>0</v>
      </c>
      <c r="H329">
        <f>F329 / (1+INF_A)^(A329-1)</f>
        <v>0</v>
      </c>
      <c r="I329">
        <f>F329 / PREF</f>
        <v>0</v>
      </c>
      <c r="J329">
        <f>H329 ^ EPS</f>
        <v>0</v>
      </c>
      <c r="K329">
        <f>THETA * B329 * I329</f>
        <v>0</v>
      </c>
      <c r="L329">
        <f>MIN(M328, J329 * CITY_A)</f>
        <v>0</v>
      </c>
      <c r="M329">
        <f>K329 * SIZE_M2</f>
        <v>0</v>
      </c>
      <c r="N329">
        <f>M328 - K329</f>
        <v>0</v>
      </c>
      <c r="O329">
        <f>SIZE_M2 * F329</f>
        <v>0</v>
      </c>
      <c r="P329">
        <f>L329 * F329</f>
        <v>0</v>
      </c>
      <c r="Q329">
        <f>O329 / (1+INF_A)^(A329-1)</f>
        <v>0</v>
      </c>
      <c r="R329">
        <f>Q328 + K329</f>
        <v>0</v>
      </c>
      <c r="S329">
        <f>INT((A329-1)/12)+1</f>
        <v>0</v>
      </c>
    </row>
    <row r="330" spans="1:19">
      <c r="A330">
        <v>329</v>
      </c>
      <c r="B330">
        <f>TEXT(DATEVALUE(START&amp;"-01")+ (ROW()-2),"yyyy-mm")</f>
        <v>0</v>
      </c>
      <c r="C330">
        <f>INDEX(SEASON_FACTORS,MOD(A330-1,12)+1)</f>
        <v>0</v>
      </c>
      <c r="D330">
        <f>INT((A330-1)/12)</f>
        <v>0</v>
      </c>
      <c r="E330">
        <f>COUNTIF(THRESH_ABS,"&lt;="&amp;Q329)</f>
        <v>0</v>
      </c>
      <c r="F330">
        <f>(1+STEP)^(C330+D330)</f>
        <v>0</v>
      </c>
      <c r="G330">
        <f>P0_M2 * (1+INF_A)^(A330-1) * (1+PLUS_A)^(A330-1) * E330</f>
        <v>0</v>
      </c>
      <c r="H330">
        <f>F330 / (1+INF_A)^(A330-1)</f>
        <v>0</v>
      </c>
      <c r="I330">
        <f>F330 / PREF</f>
        <v>0</v>
      </c>
      <c r="J330">
        <f>H330 ^ EPS</f>
        <v>0</v>
      </c>
      <c r="K330">
        <f>THETA * B330 * I330</f>
        <v>0</v>
      </c>
      <c r="L330">
        <f>MIN(M329, J330 * CITY_A)</f>
        <v>0</v>
      </c>
      <c r="M330">
        <f>K330 * SIZE_M2</f>
        <v>0</v>
      </c>
      <c r="N330">
        <f>M329 - K330</f>
        <v>0</v>
      </c>
      <c r="O330">
        <f>SIZE_M2 * F330</f>
        <v>0</v>
      </c>
      <c r="P330">
        <f>L330 * F330</f>
        <v>0</v>
      </c>
      <c r="Q330">
        <f>O330 / (1+INF_A)^(A330-1)</f>
        <v>0</v>
      </c>
      <c r="R330">
        <f>Q329 + K330</f>
        <v>0</v>
      </c>
      <c r="S330">
        <f>INT((A330-1)/12)+1</f>
        <v>0</v>
      </c>
    </row>
    <row r="331" spans="1:19">
      <c r="A331">
        <v>330</v>
      </c>
      <c r="B331">
        <f>TEXT(DATEVALUE(START&amp;"-01")+ (ROW()-2),"yyyy-mm")</f>
        <v>0</v>
      </c>
      <c r="C331">
        <f>INDEX(SEASON_FACTORS,MOD(A331-1,12)+1)</f>
        <v>0</v>
      </c>
      <c r="D331">
        <f>INT((A331-1)/12)</f>
        <v>0</v>
      </c>
      <c r="E331">
        <f>COUNTIF(THRESH_ABS,"&lt;="&amp;Q330)</f>
        <v>0</v>
      </c>
      <c r="F331">
        <f>(1+STEP)^(C331+D331)</f>
        <v>0</v>
      </c>
      <c r="G331">
        <f>P0_M2 * (1+INF_A)^(A331-1) * (1+PLUS_A)^(A331-1) * E331</f>
        <v>0</v>
      </c>
      <c r="H331">
        <f>F331 / (1+INF_A)^(A331-1)</f>
        <v>0</v>
      </c>
      <c r="I331">
        <f>F331 / PREF</f>
        <v>0</v>
      </c>
      <c r="J331">
        <f>H331 ^ EPS</f>
        <v>0</v>
      </c>
      <c r="K331">
        <f>THETA * B331 * I331</f>
        <v>0</v>
      </c>
      <c r="L331">
        <f>MIN(M330, J331 * CITY_A)</f>
        <v>0</v>
      </c>
      <c r="M331">
        <f>K331 * SIZE_M2</f>
        <v>0</v>
      </c>
      <c r="N331">
        <f>M330 - K331</f>
        <v>0</v>
      </c>
      <c r="O331">
        <f>SIZE_M2 * F331</f>
        <v>0</v>
      </c>
      <c r="P331">
        <f>L331 * F331</f>
        <v>0</v>
      </c>
      <c r="Q331">
        <f>O331 / (1+INF_A)^(A331-1)</f>
        <v>0</v>
      </c>
      <c r="R331">
        <f>Q330 + K331</f>
        <v>0</v>
      </c>
      <c r="S331">
        <f>INT((A331-1)/12)+1</f>
        <v>0</v>
      </c>
    </row>
    <row r="332" spans="1:19">
      <c r="A332">
        <v>331</v>
      </c>
      <c r="B332">
        <f>TEXT(DATEVALUE(START&amp;"-01")+ (ROW()-2),"yyyy-mm")</f>
        <v>0</v>
      </c>
      <c r="C332">
        <f>INDEX(SEASON_FACTORS,MOD(A332-1,12)+1)</f>
        <v>0</v>
      </c>
      <c r="D332">
        <f>INT((A332-1)/12)</f>
        <v>0</v>
      </c>
      <c r="E332">
        <f>COUNTIF(THRESH_ABS,"&lt;="&amp;Q331)</f>
        <v>0</v>
      </c>
      <c r="F332">
        <f>(1+STEP)^(C332+D332)</f>
        <v>0</v>
      </c>
      <c r="G332">
        <f>P0_M2 * (1+INF_A)^(A332-1) * (1+PLUS_A)^(A332-1) * E332</f>
        <v>0</v>
      </c>
      <c r="H332">
        <f>F332 / (1+INF_A)^(A332-1)</f>
        <v>0</v>
      </c>
      <c r="I332">
        <f>F332 / PREF</f>
        <v>0</v>
      </c>
      <c r="J332">
        <f>H332 ^ EPS</f>
        <v>0</v>
      </c>
      <c r="K332">
        <f>THETA * B332 * I332</f>
        <v>0</v>
      </c>
      <c r="L332">
        <f>MIN(M331, J332 * CITY_A)</f>
        <v>0</v>
      </c>
      <c r="M332">
        <f>K332 * SIZE_M2</f>
        <v>0</v>
      </c>
      <c r="N332">
        <f>M331 - K332</f>
        <v>0</v>
      </c>
      <c r="O332">
        <f>SIZE_M2 * F332</f>
        <v>0</v>
      </c>
      <c r="P332">
        <f>L332 * F332</f>
        <v>0</v>
      </c>
      <c r="Q332">
        <f>O332 / (1+INF_A)^(A332-1)</f>
        <v>0</v>
      </c>
      <c r="R332">
        <f>Q331 + K332</f>
        <v>0</v>
      </c>
      <c r="S332">
        <f>INT((A332-1)/12)+1</f>
        <v>0</v>
      </c>
    </row>
    <row r="333" spans="1:19">
      <c r="A333">
        <v>332</v>
      </c>
      <c r="B333">
        <f>TEXT(DATEVALUE(START&amp;"-01")+ (ROW()-2),"yyyy-mm")</f>
        <v>0</v>
      </c>
      <c r="C333">
        <f>INDEX(SEASON_FACTORS,MOD(A333-1,12)+1)</f>
        <v>0</v>
      </c>
      <c r="D333">
        <f>INT((A333-1)/12)</f>
        <v>0</v>
      </c>
      <c r="E333">
        <f>COUNTIF(THRESH_ABS,"&lt;="&amp;Q332)</f>
        <v>0</v>
      </c>
      <c r="F333">
        <f>(1+STEP)^(C333+D333)</f>
        <v>0</v>
      </c>
      <c r="G333">
        <f>P0_M2 * (1+INF_A)^(A333-1) * (1+PLUS_A)^(A333-1) * E333</f>
        <v>0</v>
      </c>
      <c r="H333">
        <f>F333 / (1+INF_A)^(A333-1)</f>
        <v>0</v>
      </c>
      <c r="I333">
        <f>F333 / PREF</f>
        <v>0</v>
      </c>
      <c r="J333">
        <f>H333 ^ EPS</f>
        <v>0</v>
      </c>
      <c r="K333">
        <f>THETA * B333 * I333</f>
        <v>0</v>
      </c>
      <c r="L333">
        <f>MIN(M332, J333 * CITY_A)</f>
        <v>0</v>
      </c>
      <c r="M333">
        <f>K333 * SIZE_M2</f>
        <v>0</v>
      </c>
      <c r="N333">
        <f>M332 - K333</f>
        <v>0</v>
      </c>
      <c r="O333">
        <f>SIZE_M2 * F333</f>
        <v>0</v>
      </c>
      <c r="P333">
        <f>L333 * F333</f>
        <v>0</v>
      </c>
      <c r="Q333">
        <f>O333 / (1+INF_A)^(A333-1)</f>
        <v>0</v>
      </c>
      <c r="R333">
        <f>Q332 + K333</f>
        <v>0</v>
      </c>
      <c r="S333">
        <f>INT((A333-1)/12)+1</f>
        <v>0</v>
      </c>
    </row>
    <row r="334" spans="1:19">
      <c r="A334">
        <v>333</v>
      </c>
      <c r="B334">
        <f>TEXT(DATEVALUE(START&amp;"-01")+ (ROW()-2),"yyyy-mm")</f>
        <v>0</v>
      </c>
      <c r="C334">
        <f>INDEX(SEASON_FACTORS,MOD(A334-1,12)+1)</f>
        <v>0</v>
      </c>
      <c r="D334">
        <f>INT((A334-1)/12)</f>
        <v>0</v>
      </c>
      <c r="E334">
        <f>COUNTIF(THRESH_ABS,"&lt;="&amp;Q333)</f>
        <v>0</v>
      </c>
      <c r="F334">
        <f>(1+STEP)^(C334+D334)</f>
        <v>0</v>
      </c>
      <c r="G334">
        <f>P0_M2 * (1+INF_A)^(A334-1) * (1+PLUS_A)^(A334-1) * E334</f>
        <v>0</v>
      </c>
      <c r="H334">
        <f>F334 / (1+INF_A)^(A334-1)</f>
        <v>0</v>
      </c>
      <c r="I334">
        <f>F334 / PREF</f>
        <v>0</v>
      </c>
      <c r="J334">
        <f>H334 ^ EPS</f>
        <v>0</v>
      </c>
      <c r="K334">
        <f>THETA * B334 * I334</f>
        <v>0</v>
      </c>
      <c r="L334">
        <f>MIN(M333, J334 * CITY_A)</f>
        <v>0</v>
      </c>
      <c r="M334">
        <f>K334 * SIZE_M2</f>
        <v>0</v>
      </c>
      <c r="N334">
        <f>M333 - K334</f>
        <v>0</v>
      </c>
      <c r="O334">
        <f>SIZE_M2 * F334</f>
        <v>0</v>
      </c>
      <c r="P334">
        <f>L334 * F334</f>
        <v>0</v>
      </c>
      <c r="Q334">
        <f>O334 / (1+INF_A)^(A334-1)</f>
        <v>0</v>
      </c>
      <c r="R334">
        <f>Q333 + K334</f>
        <v>0</v>
      </c>
      <c r="S334">
        <f>INT((A334-1)/12)+1</f>
        <v>0</v>
      </c>
    </row>
    <row r="335" spans="1:19">
      <c r="A335">
        <v>334</v>
      </c>
      <c r="B335">
        <f>TEXT(DATEVALUE(START&amp;"-01")+ (ROW()-2),"yyyy-mm")</f>
        <v>0</v>
      </c>
      <c r="C335">
        <f>INDEX(SEASON_FACTORS,MOD(A335-1,12)+1)</f>
        <v>0</v>
      </c>
      <c r="D335">
        <f>INT((A335-1)/12)</f>
        <v>0</v>
      </c>
      <c r="E335">
        <f>COUNTIF(THRESH_ABS,"&lt;="&amp;Q334)</f>
        <v>0</v>
      </c>
      <c r="F335">
        <f>(1+STEP)^(C335+D335)</f>
        <v>0</v>
      </c>
      <c r="G335">
        <f>P0_M2 * (1+INF_A)^(A335-1) * (1+PLUS_A)^(A335-1) * E335</f>
        <v>0</v>
      </c>
      <c r="H335">
        <f>F335 / (1+INF_A)^(A335-1)</f>
        <v>0</v>
      </c>
      <c r="I335">
        <f>F335 / PREF</f>
        <v>0</v>
      </c>
      <c r="J335">
        <f>H335 ^ EPS</f>
        <v>0</v>
      </c>
      <c r="K335">
        <f>THETA * B335 * I335</f>
        <v>0</v>
      </c>
      <c r="L335">
        <f>MIN(M334, J335 * CITY_A)</f>
        <v>0</v>
      </c>
      <c r="M335">
        <f>K335 * SIZE_M2</f>
        <v>0</v>
      </c>
      <c r="N335">
        <f>M334 - K335</f>
        <v>0</v>
      </c>
      <c r="O335">
        <f>SIZE_M2 * F335</f>
        <v>0</v>
      </c>
      <c r="P335">
        <f>L335 * F335</f>
        <v>0</v>
      </c>
      <c r="Q335">
        <f>O335 / (1+INF_A)^(A335-1)</f>
        <v>0</v>
      </c>
      <c r="R335">
        <f>Q334 + K335</f>
        <v>0</v>
      </c>
      <c r="S335">
        <f>INT((A335-1)/12)+1</f>
        <v>0</v>
      </c>
    </row>
    <row r="336" spans="1:19">
      <c r="A336">
        <v>335</v>
      </c>
      <c r="B336">
        <f>TEXT(DATEVALUE(START&amp;"-01")+ (ROW()-2),"yyyy-mm")</f>
        <v>0</v>
      </c>
      <c r="C336">
        <f>INDEX(SEASON_FACTORS,MOD(A336-1,12)+1)</f>
        <v>0</v>
      </c>
      <c r="D336">
        <f>INT((A336-1)/12)</f>
        <v>0</v>
      </c>
      <c r="E336">
        <f>COUNTIF(THRESH_ABS,"&lt;="&amp;Q335)</f>
        <v>0</v>
      </c>
      <c r="F336">
        <f>(1+STEP)^(C336+D336)</f>
        <v>0</v>
      </c>
      <c r="G336">
        <f>P0_M2 * (1+INF_A)^(A336-1) * (1+PLUS_A)^(A336-1) * E336</f>
        <v>0</v>
      </c>
      <c r="H336">
        <f>F336 / (1+INF_A)^(A336-1)</f>
        <v>0</v>
      </c>
      <c r="I336">
        <f>F336 / PREF</f>
        <v>0</v>
      </c>
      <c r="J336">
        <f>H336 ^ EPS</f>
        <v>0</v>
      </c>
      <c r="K336">
        <f>THETA * B336 * I336</f>
        <v>0</v>
      </c>
      <c r="L336">
        <f>MIN(M335, J336 * CITY_A)</f>
        <v>0</v>
      </c>
      <c r="M336">
        <f>K336 * SIZE_M2</f>
        <v>0</v>
      </c>
      <c r="N336">
        <f>M335 - K336</f>
        <v>0</v>
      </c>
      <c r="O336">
        <f>SIZE_M2 * F336</f>
        <v>0</v>
      </c>
      <c r="P336">
        <f>L336 * F336</f>
        <v>0</v>
      </c>
      <c r="Q336">
        <f>O336 / (1+INF_A)^(A336-1)</f>
        <v>0</v>
      </c>
      <c r="R336">
        <f>Q335 + K336</f>
        <v>0</v>
      </c>
      <c r="S336">
        <f>INT((A336-1)/12)+1</f>
        <v>0</v>
      </c>
    </row>
    <row r="337" spans="1:19">
      <c r="A337">
        <v>336</v>
      </c>
      <c r="B337">
        <f>TEXT(DATEVALUE(START&amp;"-01")+ (ROW()-2),"yyyy-mm")</f>
        <v>0</v>
      </c>
      <c r="C337">
        <f>INDEX(SEASON_FACTORS,MOD(A337-1,12)+1)</f>
        <v>0</v>
      </c>
      <c r="D337">
        <f>INT((A337-1)/12)</f>
        <v>0</v>
      </c>
      <c r="E337">
        <f>COUNTIF(THRESH_ABS,"&lt;="&amp;Q336)</f>
        <v>0</v>
      </c>
      <c r="F337">
        <f>(1+STEP)^(C337+D337)</f>
        <v>0</v>
      </c>
      <c r="G337">
        <f>P0_M2 * (1+INF_A)^(A337-1) * (1+PLUS_A)^(A337-1) * E337</f>
        <v>0</v>
      </c>
      <c r="H337">
        <f>F337 / (1+INF_A)^(A337-1)</f>
        <v>0</v>
      </c>
      <c r="I337">
        <f>F337 / PREF</f>
        <v>0</v>
      </c>
      <c r="J337">
        <f>H337 ^ EPS</f>
        <v>0</v>
      </c>
      <c r="K337">
        <f>THETA * B337 * I337</f>
        <v>0</v>
      </c>
      <c r="L337">
        <f>MIN(M336, J337 * CITY_A)</f>
        <v>0</v>
      </c>
      <c r="M337">
        <f>K337 * SIZE_M2</f>
        <v>0</v>
      </c>
      <c r="N337">
        <f>M336 - K337</f>
        <v>0</v>
      </c>
      <c r="O337">
        <f>SIZE_M2 * F337</f>
        <v>0</v>
      </c>
      <c r="P337">
        <f>L337 * F337</f>
        <v>0</v>
      </c>
      <c r="Q337">
        <f>O337 / (1+INF_A)^(A337-1)</f>
        <v>0</v>
      </c>
      <c r="R337">
        <f>Q336 + K337</f>
        <v>0</v>
      </c>
      <c r="S337">
        <f>INT((A337-1)/12)+1</f>
        <v>0</v>
      </c>
    </row>
    <row r="338" spans="1:19">
      <c r="A338">
        <v>337</v>
      </c>
      <c r="B338">
        <f>TEXT(DATEVALUE(START&amp;"-01")+ (ROW()-2),"yyyy-mm")</f>
        <v>0</v>
      </c>
      <c r="C338">
        <f>INDEX(SEASON_FACTORS,MOD(A338-1,12)+1)</f>
        <v>0</v>
      </c>
      <c r="D338">
        <f>INT((A338-1)/12)</f>
        <v>0</v>
      </c>
      <c r="E338">
        <f>COUNTIF(THRESH_ABS,"&lt;="&amp;Q337)</f>
        <v>0</v>
      </c>
      <c r="F338">
        <f>(1+STEP)^(C338+D338)</f>
        <v>0</v>
      </c>
      <c r="G338">
        <f>P0_M2 * (1+INF_A)^(A338-1) * (1+PLUS_A)^(A338-1) * E338</f>
        <v>0</v>
      </c>
      <c r="H338">
        <f>F338 / (1+INF_A)^(A338-1)</f>
        <v>0</v>
      </c>
      <c r="I338">
        <f>F338 / PREF</f>
        <v>0</v>
      </c>
      <c r="J338">
        <f>H338 ^ EPS</f>
        <v>0</v>
      </c>
      <c r="K338">
        <f>THETA * B338 * I338</f>
        <v>0</v>
      </c>
      <c r="L338">
        <f>MIN(M337, J338 * CITY_A)</f>
        <v>0</v>
      </c>
      <c r="M338">
        <f>K338 * SIZE_M2</f>
        <v>0</v>
      </c>
      <c r="N338">
        <f>M337 - K338</f>
        <v>0</v>
      </c>
      <c r="O338">
        <f>SIZE_M2 * F338</f>
        <v>0</v>
      </c>
      <c r="P338">
        <f>L338 * F338</f>
        <v>0</v>
      </c>
      <c r="Q338">
        <f>O338 / (1+INF_A)^(A338-1)</f>
        <v>0</v>
      </c>
      <c r="R338">
        <f>Q337 + K338</f>
        <v>0</v>
      </c>
      <c r="S338">
        <f>INT((A338-1)/12)+1</f>
        <v>0</v>
      </c>
    </row>
    <row r="339" spans="1:19">
      <c r="A339">
        <v>338</v>
      </c>
      <c r="B339">
        <f>TEXT(DATEVALUE(START&amp;"-01")+ (ROW()-2),"yyyy-mm")</f>
        <v>0</v>
      </c>
      <c r="C339">
        <f>INDEX(SEASON_FACTORS,MOD(A339-1,12)+1)</f>
        <v>0</v>
      </c>
      <c r="D339">
        <f>INT((A339-1)/12)</f>
        <v>0</v>
      </c>
      <c r="E339">
        <f>COUNTIF(THRESH_ABS,"&lt;="&amp;Q338)</f>
        <v>0</v>
      </c>
      <c r="F339">
        <f>(1+STEP)^(C339+D339)</f>
        <v>0</v>
      </c>
      <c r="G339">
        <f>P0_M2 * (1+INF_A)^(A339-1) * (1+PLUS_A)^(A339-1) * E339</f>
        <v>0</v>
      </c>
      <c r="H339">
        <f>F339 / (1+INF_A)^(A339-1)</f>
        <v>0</v>
      </c>
      <c r="I339">
        <f>F339 / PREF</f>
        <v>0</v>
      </c>
      <c r="J339">
        <f>H339 ^ EPS</f>
        <v>0</v>
      </c>
      <c r="K339">
        <f>THETA * B339 * I339</f>
        <v>0</v>
      </c>
      <c r="L339">
        <f>MIN(M338, J339 * CITY_A)</f>
        <v>0</v>
      </c>
      <c r="M339">
        <f>K339 * SIZE_M2</f>
        <v>0</v>
      </c>
      <c r="N339">
        <f>M338 - K339</f>
        <v>0</v>
      </c>
      <c r="O339">
        <f>SIZE_M2 * F339</f>
        <v>0</v>
      </c>
      <c r="P339">
        <f>L339 * F339</f>
        <v>0</v>
      </c>
      <c r="Q339">
        <f>O339 / (1+INF_A)^(A339-1)</f>
        <v>0</v>
      </c>
      <c r="R339">
        <f>Q338 + K339</f>
        <v>0</v>
      </c>
      <c r="S339">
        <f>INT((A339-1)/12)+1</f>
        <v>0</v>
      </c>
    </row>
    <row r="340" spans="1:19">
      <c r="A340">
        <v>339</v>
      </c>
      <c r="B340">
        <f>TEXT(DATEVALUE(START&amp;"-01")+ (ROW()-2),"yyyy-mm")</f>
        <v>0</v>
      </c>
      <c r="C340">
        <f>INDEX(SEASON_FACTORS,MOD(A340-1,12)+1)</f>
        <v>0</v>
      </c>
      <c r="D340">
        <f>INT((A340-1)/12)</f>
        <v>0</v>
      </c>
      <c r="E340">
        <f>COUNTIF(THRESH_ABS,"&lt;="&amp;Q339)</f>
        <v>0</v>
      </c>
      <c r="F340">
        <f>(1+STEP)^(C340+D340)</f>
        <v>0</v>
      </c>
      <c r="G340">
        <f>P0_M2 * (1+INF_A)^(A340-1) * (1+PLUS_A)^(A340-1) * E340</f>
        <v>0</v>
      </c>
      <c r="H340">
        <f>F340 / (1+INF_A)^(A340-1)</f>
        <v>0</v>
      </c>
      <c r="I340">
        <f>F340 / PREF</f>
        <v>0</v>
      </c>
      <c r="J340">
        <f>H340 ^ EPS</f>
        <v>0</v>
      </c>
      <c r="K340">
        <f>THETA * B340 * I340</f>
        <v>0</v>
      </c>
      <c r="L340">
        <f>MIN(M339, J340 * CITY_A)</f>
        <v>0</v>
      </c>
      <c r="M340">
        <f>K340 * SIZE_M2</f>
        <v>0</v>
      </c>
      <c r="N340">
        <f>M339 - K340</f>
        <v>0</v>
      </c>
      <c r="O340">
        <f>SIZE_M2 * F340</f>
        <v>0</v>
      </c>
      <c r="P340">
        <f>L340 * F340</f>
        <v>0</v>
      </c>
      <c r="Q340">
        <f>O340 / (1+INF_A)^(A340-1)</f>
        <v>0</v>
      </c>
      <c r="R340">
        <f>Q339 + K340</f>
        <v>0</v>
      </c>
      <c r="S340">
        <f>INT((A340-1)/12)+1</f>
        <v>0</v>
      </c>
    </row>
    <row r="341" spans="1:19">
      <c r="A341">
        <v>340</v>
      </c>
      <c r="B341">
        <f>TEXT(DATEVALUE(START&amp;"-01")+ (ROW()-2),"yyyy-mm")</f>
        <v>0</v>
      </c>
      <c r="C341">
        <f>INDEX(SEASON_FACTORS,MOD(A341-1,12)+1)</f>
        <v>0</v>
      </c>
      <c r="D341">
        <f>INT((A341-1)/12)</f>
        <v>0</v>
      </c>
      <c r="E341">
        <f>COUNTIF(THRESH_ABS,"&lt;="&amp;Q340)</f>
        <v>0</v>
      </c>
      <c r="F341">
        <f>(1+STEP)^(C341+D341)</f>
        <v>0</v>
      </c>
      <c r="G341">
        <f>P0_M2 * (1+INF_A)^(A341-1) * (1+PLUS_A)^(A341-1) * E341</f>
        <v>0</v>
      </c>
      <c r="H341">
        <f>F341 / (1+INF_A)^(A341-1)</f>
        <v>0</v>
      </c>
      <c r="I341">
        <f>F341 / PREF</f>
        <v>0</v>
      </c>
      <c r="J341">
        <f>H341 ^ EPS</f>
        <v>0</v>
      </c>
      <c r="K341">
        <f>THETA * B341 * I341</f>
        <v>0</v>
      </c>
      <c r="L341">
        <f>MIN(M340, J341 * CITY_A)</f>
        <v>0</v>
      </c>
      <c r="M341">
        <f>K341 * SIZE_M2</f>
        <v>0</v>
      </c>
      <c r="N341">
        <f>M340 - K341</f>
        <v>0</v>
      </c>
      <c r="O341">
        <f>SIZE_M2 * F341</f>
        <v>0</v>
      </c>
      <c r="P341">
        <f>L341 * F341</f>
        <v>0</v>
      </c>
      <c r="Q341">
        <f>O341 / (1+INF_A)^(A341-1)</f>
        <v>0</v>
      </c>
      <c r="R341">
        <f>Q340 + K341</f>
        <v>0</v>
      </c>
      <c r="S341">
        <f>INT((A341-1)/12)+1</f>
        <v>0</v>
      </c>
    </row>
    <row r="342" spans="1:19">
      <c r="A342">
        <v>341</v>
      </c>
      <c r="B342">
        <f>TEXT(DATEVALUE(START&amp;"-01")+ (ROW()-2),"yyyy-mm")</f>
        <v>0</v>
      </c>
      <c r="C342">
        <f>INDEX(SEASON_FACTORS,MOD(A342-1,12)+1)</f>
        <v>0</v>
      </c>
      <c r="D342">
        <f>INT((A342-1)/12)</f>
        <v>0</v>
      </c>
      <c r="E342">
        <f>COUNTIF(THRESH_ABS,"&lt;="&amp;Q341)</f>
        <v>0</v>
      </c>
      <c r="F342">
        <f>(1+STEP)^(C342+D342)</f>
        <v>0</v>
      </c>
      <c r="G342">
        <f>P0_M2 * (1+INF_A)^(A342-1) * (1+PLUS_A)^(A342-1) * E342</f>
        <v>0</v>
      </c>
      <c r="H342">
        <f>F342 / (1+INF_A)^(A342-1)</f>
        <v>0</v>
      </c>
      <c r="I342">
        <f>F342 / PREF</f>
        <v>0</v>
      </c>
      <c r="J342">
        <f>H342 ^ EPS</f>
        <v>0</v>
      </c>
      <c r="K342">
        <f>THETA * B342 * I342</f>
        <v>0</v>
      </c>
      <c r="L342">
        <f>MIN(M341, J342 * CITY_A)</f>
        <v>0</v>
      </c>
      <c r="M342">
        <f>K342 * SIZE_M2</f>
        <v>0</v>
      </c>
      <c r="N342">
        <f>M341 - K342</f>
        <v>0</v>
      </c>
      <c r="O342">
        <f>SIZE_M2 * F342</f>
        <v>0</v>
      </c>
      <c r="P342">
        <f>L342 * F342</f>
        <v>0</v>
      </c>
      <c r="Q342">
        <f>O342 / (1+INF_A)^(A342-1)</f>
        <v>0</v>
      </c>
      <c r="R342">
        <f>Q341 + K342</f>
        <v>0</v>
      </c>
      <c r="S342">
        <f>INT((A342-1)/12)+1</f>
        <v>0</v>
      </c>
    </row>
    <row r="343" spans="1:19">
      <c r="A343">
        <v>342</v>
      </c>
      <c r="B343">
        <f>TEXT(DATEVALUE(START&amp;"-01")+ (ROW()-2),"yyyy-mm")</f>
        <v>0</v>
      </c>
      <c r="C343">
        <f>INDEX(SEASON_FACTORS,MOD(A343-1,12)+1)</f>
        <v>0</v>
      </c>
      <c r="D343">
        <f>INT((A343-1)/12)</f>
        <v>0</v>
      </c>
      <c r="E343">
        <f>COUNTIF(THRESH_ABS,"&lt;="&amp;Q342)</f>
        <v>0</v>
      </c>
      <c r="F343">
        <f>(1+STEP)^(C343+D343)</f>
        <v>0</v>
      </c>
      <c r="G343">
        <f>P0_M2 * (1+INF_A)^(A343-1) * (1+PLUS_A)^(A343-1) * E343</f>
        <v>0</v>
      </c>
      <c r="H343">
        <f>F343 / (1+INF_A)^(A343-1)</f>
        <v>0</v>
      </c>
      <c r="I343">
        <f>F343 / PREF</f>
        <v>0</v>
      </c>
      <c r="J343">
        <f>H343 ^ EPS</f>
        <v>0</v>
      </c>
      <c r="K343">
        <f>THETA * B343 * I343</f>
        <v>0</v>
      </c>
      <c r="L343">
        <f>MIN(M342, J343 * CITY_A)</f>
        <v>0</v>
      </c>
      <c r="M343">
        <f>K343 * SIZE_M2</f>
        <v>0</v>
      </c>
      <c r="N343">
        <f>M342 - K343</f>
        <v>0</v>
      </c>
      <c r="O343">
        <f>SIZE_M2 * F343</f>
        <v>0</v>
      </c>
      <c r="P343">
        <f>L343 * F343</f>
        <v>0</v>
      </c>
      <c r="Q343">
        <f>O343 / (1+INF_A)^(A343-1)</f>
        <v>0</v>
      </c>
      <c r="R343">
        <f>Q342 + K343</f>
        <v>0</v>
      </c>
      <c r="S343">
        <f>INT((A343-1)/12)+1</f>
        <v>0</v>
      </c>
    </row>
    <row r="344" spans="1:19">
      <c r="A344">
        <v>343</v>
      </c>
      <c r="B344">
        <f>TEXT(DATEVALUE(START&amp;"-01")+ (ROW()-2),"yyyy-mm")</f>
        <v>0</v>
      </c>
      <c r="C344">
        <f>INDEX(SEASON_FACTORS,MOD(A344-1,12)+1)</f>
        <v>0</v>
      </c>
      <c r="D344">
        <f>INT((A344-1)/12)</f>
        <v>0</v>
      </c>
      <c r="E344">
        <f>COUNTIF(THRESH_ABS,"&lt;="&amp;Q343)</f>
        <v>0</v>
      </c>
      <c r="F344">
        <f>(1+STEP)^(C344+D344)</f>
        <v>0</v>
      </c>
      <c r="G344">
        <f>P0_M2 * (1+INF_A)^(A344-1) * (1+PLUS_A)^(A344-1) * E344</f>
        <v>0</v>
      </c>
      <c r="H344">
        <f>F344 / (1+INF_A)^(A344-1)</f>
        <v>0</v>
      </c>
      <c r="I344">
        <f>F344 / PREF</f>
        <v>0</v>
      </c>
      <c r="J344">
        <f>H344 ^ EPS</f>
        <v>0</v>
      </c>
      <c r="K344">
        <f>THETA * B344 * I344</f>
        <v>0</v>
      </c>
      <c r="L344">
        <f>MIN(M343, J344 * CITY_A)</f>
        <v>0</v>
      </c>
      <c r="M344">
        <f>K344 * SIZE_M2</f>
        <v>0</v>
      </c>
      <c r="N344">
        <f>M343 - K344</f>
        <v>0</v>
      </c>
      <c r="O344">
        <f>SIZE_M2 * F344</f>
        <v>0</v>
      </c>
      <c r="P344">
        <f>L344 * F344</f>
        <v>0</v>
      </c>
      <c r="Q344">
        <f>O344 / (1+INF_A)^(A344-1)</f>
        <v>0</v>
      </c>
      <c r="R344">
        <f>Q343 + K344</f>
        <v>0</v>
      </c>
      <c r="S344">
        <f>INT((A344-1)/12)+1</f>
        <v>0</v>
      </c>
    </row>
    <row r="345" spans="1:19">
      <c r="A345">
        <v>344</v>
      </c>
      <c r="B345">
        <f>TEXT(DATEVALUE(START&amp;"-01")+ (ROW()-2),"yyyy-mm")</f>
        <v>0</v>
      </c>
      <c r="C345">
        <f>INDEX(SEASON_FACTORS,MOD(A345-1,12)+1)</f>
        <v>0</v>
      </c>
      <c r="D345">
        <f>INT((A345-1)/12)</f>
        <v>0</v>
      </c>
      <c r="E345">
        <f>COUNTIF(THRESH_ABS,"&lt;="&amp;Q344)</f>
        <v>0</v>
      </c>
      <c r="F345">
        <f>(1+STEP)^(C345+D345)</f>
        <v>0</v>
      </c>
      <c r="G345">
        <f>P0_M2 * (1+INF_A)^(A345-1) * (1+PLUS_A)^(A345-1) * E345</f>
        <v>0</v>
      </c>
      <c r="H345">
        <f>F345 / (1+INF_A)^(A345-1)</f>
        <v>0</v>
      </c>
      <c r="I345">
        <f>F345 / PREF</f>
        <v>0</v>
      </c>
      <c r="J345">
        <f>H345 ^ EPS</f>
        <v>0</v>
      </c>
      <c r="K345">
        <f>THETA * B345 * I345</f>
        <v>0</v>
      </c>
      <c r="L345">
        <f>MIN(M344, J345 * CITY_A)</f>
        <v>0</v>
      </c>
      <c r="M345">
        <f>K345 * SIZE_M2</f>
        <v>0</v>
      </c>
      <c r="N345">
        <f>M344 - K345</f>
        <v>0</v>
      </c>
      <c r="O345">
        <f>SIZE_M2 * F345</f>
        <v>0</v>
      </c>
      <c r="P345">
        <f>L345 * F345</f>
        <v>0</v>
      </c>
      <c r="Q345">
        <f>O345 / (1+INF_A)^(A345-1)</f>
        <v>0</v>
      </c>
      <c r="R345">
        <f>Q344 + K345</f>
        <v>0</v>
      </c>
      <c r="S345">
        <f>INT((A345-1)/12)+1</f>
        <v>0</v>
      </c>
    </row>
    <row r="346" spans="1:19">
      <c r="A346">
        <v>345</v>
      </c>
      <c r="B346">
        <f>TEXT(DATEVALUE(START&amp;"-01")+ (ROW()-2),"yyyy-mm")</f>
        <v>0</v>
      </c>
      <c r="C346">
        <f>INDEX(SEASON_FACTORS,MOD(A346-1,12)+1)</f>
        <v>0</v>
      </c>
      <c r="D346">
        <f>INT((A346-1)/12)</f>
        <v>0</v>
      </c>
      <c r="E346">
        <f>COUNTIF(THRESH_ABS,"&lt;="&amp;Q345)</f>
        <v>0</v>
      </c>
      <c r="F346">
        <f>(1+STEP)^(C346+D346)</f>
        <v>0</v>
      </c>
      <c r="G346">
        <f>P0_M2 * (1+INF_A)^(A346-1) * (1+PLUS_A)^(A346-1) * E346</f>
        <v>0</v>
      </c>
      <c r="H346">
        <f>F346 / (1+INF_A)^(A346-1)</f>
        <v>0</v>
      </c>
      <c r="I346">
        <f>F346 / PREF</f>
        <v>0</v>
      </c>
      <c r="J346">
        <f>H346 ^ EPS</f>
        <v>0</v>
      </c>
      <c r="K346">
        <f>THETA * B346 * I346</f>
        <v>0</v>
      </c>
      <c r="L346">
        <f>MIN(M345, J346 * CITY_A)</f>
        <v>0</v>
      </c>
      <c r="M346">
        <f>K346 * SIZE_M2</f>
        <v>0</v>
      </c>
      <c r="N346">
        <f>M345 - K346</f>
        <v>0</v>
      </c>
      <c r="O346">
        <f>SIZE_M2 * F346</f>
        <v>0</v>
      </c>
      <c r="P346">
        <f>L346 * F346</f>
        <v>0</v>
      </c>
      <c r="Q346">
        <f>O346 / (1+INF_A)^(A346-1)</f>
        <v>0</v>
      </c>
      <c r="R346">
        <f>Q345 + K346</f>
        <v>0</v>
      </c>
      <c r="S346">
        <f>INT((A346-1)/12)+1</f>
        <v>0</v>
      </c>
    </row>
    <row r="347" spans="1:19">
      <c r="A347">
        <v>346</v>
      </c>
      <c r="B347">
        <f>TEXT(DATEVALUE(START&amp;"-01")+ (ROW()-2),"yyyy-mm")</f>
        <v>0</v>
      </c>
      <c r="C347">
        <f>INDEX(SEASON_FACTORS,MOD(A347-1,12)+1)</f>
        <v>0</v>
      </c>
      <c r="D347">
        <f>INT((A347-1)/12)</f>
        <v>0</v>
      </c>
      <c r="E347">
        <f>COUNTIF(THRESH_ABS,"&lt;="&amp;Q346)</f>
        <v>0</v>
      </c>
      <c r="F347">
        <f>(1+STEP)^(C347+D347)</f>
        <v>0</v>
      </c>
      <c r="G347">
        <f>P0_M2 * (1+INF_A)^(A347-1) * (1+PLUS_A)^(A347-1) * E347</f>
        <v>0</v>
      </c>
      <c r="H347">
        <f>F347 / (1+INF_A)^(A347-1)</f>
        <v>0</v>
      </c>
      <c r="I347">
        <f>F347 / PREF</f>
        <v>0</v>
      </c>
      <c r="J347">
        <f>H347 ^ EPS</f>
        <v>0</v>
      </c>
      <c r="K347">
        <f>THETA * B347 * I347</f>
        <v>0</v>
      </c>
      <c r="L347">
        <f>MIN(M346, J347 * CITY_A)</f>
        <v>0</v>
      </c>
      <c r="M347">
        <f>K347 * SIZE_M2</f>
        <v>0</v>
      </c>
      <c r="N347">
        <f>M346 - K347</f>
        <v>0</v>
      </c>
      <c r="O347">
        <f>SIZE_M2 * F347</f>
        <v>0</v>
      </c>
      <c r="P347">
        <f>L347 * F347</f>
        <v>0</v>
      </c>
      <c r="Q347">
        <f>O347 / (1+INF_A)^(A347-1)</f>
        <v>0</v>
      </c>
      <c r="R347">
        <f>Q346 + K347</f>
        <v>0</v>
      </c>
      <c r="S347">
        <f>INT((A347-1)/12)+1</f>
        <v>0</v>
      </c>
    </row>
    <row r="348" spans="1:19">
      <c r="A348">
        <v>347</v>
      </c>
      <c r="B348">
        <f>TEXT(DATEVALUE(START&amp;"-01")+ (ROW()-2),"yyyy-mm")</f>
        <v>0</v>
      </c>
      <c r="C348">
        <f>INDEX(SEASON_FACTORS,MOD(A348-1,12)+1)</f>
        <v>0</v>
      </c>
      <c r="D348">
        <f>INT((A348-1)/12)</f>
        <v>0</v>
      </c>
      <c r="E348">
        <f>COUNTIF(THRESH_ABS,"&lt;="&amp;Q347)</f>
        <v>0</v>
      </c>
      <c r="F348">
        <f>(1+STEP)^(C348+D348)</f>
        <v>0</v>
      </c>
      <c r="G348">
        <f>P0_M2 * (1+INF_A)^(A348-1) * (1+PLUS_A)^(A348-1) * E348</f>
        <v>0</v>
      </c>
      <c r="H348">
        <f>F348 / (1+INF_A)^(A348-1)</f>
        <v>0</v>
      </c>
      <c r="I348">
        <f>F348 / PREF</f>
        <v>0</v>
      </c>
      <c r="J348">
        <f>H348 ^ EPS</f>
        <v>0</v>
      </c>
      <c r="K348">
        <f>THETA * B348 * I348</f>
        <v>0</v>
      </c>
      <c r="L348">
        <f>MIN(M347, J348 * CITY_A)</f>
        <v>0</v>
      </c>
      <c r="M348">
        <f>K348 * SIZE_M2</f>
        <v>0</v>
      </c>
      <c r="N348">
        <f>M347 - K348</f>
        <v>0</v>
      </c>
      <c r="O348">
        <f>SIZE_M2 * F348</f>
        <v>0</v>
      </c>
      <c r="P348">
        <f>L348 * F348</f>
        <v>0</v>
      </c>
      <c r="Q348">
        <f>O348 / (1+INF_A)^(A348-1)</f>
        <v>0</v>
      </c>
      <c r="R348">
        <f>Q347 + K348</f>
        <v>0</v>
      </c>
      <c r="S348">
        <f>INT((A348-1)/12)+1</f>
        <v>0</v>
      </c>
    </row>
    <row r="349" spans="1:19">
      <c r="A349">
        <v>348</v>
      </c>
      <c r="B349">
        <f>TEXT(DATEVALUE(START&amp;"-01")+ (ROW()-2),"yyyy-mm")</f>
        <v>0</v>
      </c>
      <c r="C349">
        <f>INDEX(SEASON_FACTORS,MOD(A349-1,12)+1)</f>
        <v>0</v>
      </c>
      <c r="D349">
        <f>INT((A349-1)/12)</f>
        <v>0</v>
      </c>
      <c r="E349">
        <f>COUNTIF(THRESH_ABS,"&lt;="&amp;Q348)</f>
        <v>0</v>
      </c>
      <c r="F349">
        <f>(1+STEP)^(C349+D349)</f>
        <v>0</v>
      </c>
      <c r="G349">
        <f>P0_M2 * (1+INF_A)^(A349-1) * (1+PLUS_A)^(A349-1) * E349</f>
        <v>0</v>
      </c>
      <c r="H349">
        <f>F349 / (1+INF_A)^(A349-1)</f>
        <v>0</v>
      </c>
      <c r="I349">
        <f>F349 / PREF</f>
        <v>0</v>
      </c>
      <c r="J349">
        <f>H349 ^ EPS</f>
        <v>0</v>
      </c>
      <c r="K349">
        <f>THETA * B349 * I349</f>
        <v>0</v>
      </c>
      <c r="L349">
        <f>MIN(M348, J349 * CITY_A)</f>
        <v>0</v>
      </c>
      <c r="M349">
        <f>K349 * SIZE_M2</f>
        <v>0</v>
      </c>
      <c r="N349">
        <f>M348 - K349</f>
        <v>0</v>
      </c>
      <c r="O349">
        <f>SIZE_M2 * F349</f>
        <v>0</v>
      </c>
      <c r="P349">
        <f>L349 * F349</f>
        <v>0</v>
      </c>
      <c r="Q349">
        <f>O349 / (1+INF_A)^(A349-1)</f>
        <v>0</v>
      </c>
      <c r="R349">
        <f>Q348 + K349</f>
        <v>0</v>
      </c>
      <c r="S349">
        <f>INT((A349-1)/12)+1</f>
        <v>0</v>
      </c>
    </row>
    <row r="350" spans="1:19">
      <c r="A350">
        <v>349</v>
      </c>
      <c r="B350">
        <f>TEXT(DATEVALUE(START&amp;"-01")+ (ROW()-2),"yyyy-mm")</f>
        <v>0</v>
      </c>
      <c r="C350">
        <f>INDEX(SEASON_FACTORS,MOD(A350-1,12)+1)</f>
        <v>0</v>
      </c>
      <c r="D350">
        <f>INT((A350-1)/12)</f>
        <v>0</v>
      </c>
      <c r="E350">
        <f>COUNTIF(THRESH_ABS,"&lt;="&amp;Q349)</f>
        <v>0</v>
      </c>
      <c r="F350">
        <f>(1+STEP)^(C350+D350)</f>
        <v>0</v>
      </c>
      <c r="G350">
        <f>P0_M2 * (1+INF_A)^(A350-1) * (1+PLUS_A)^(A350-1) * E350</f>
        <v>0</v>
      </c>
      <c r="H350">
        <f>F350 / (1+INF_A)^(A350-1)</f>
        <v>0</v>
      </c>
      <c r="I350">
        <f>F350 / PREF</f>
        <v>0</v>
      </c>
      <c r="J350">
        <f>H350 ^ EPS</f>
        <v>0</v>
      </c>
      <c r="K350">
        <f>THETA * B350 * I350</f>
        <v>0</v>
      </c>
      <c r="L350">
        <f>MIN(M349, J350 * CITY_A)</f>
        <v>0</v>
      </c>
      <c r="M350">
        <f>K350 * SIZE_M2</f>
        <v>0</v>
      </c>
      <c r="N350">
        <f>M349 - K350</f>
        <v>0</v>
      </c>
      <c r="O350">
        <f>SIZE_M2 * F350</f>
        <v>0</v>
      </c>
      <c r="P350">
        <f>L350 * F350</f>
        <v>0</v>
      </c>
      <c r="Q350">
        <f>O350 / (1+INF_A)^(A350-1)</f>
        <v>0</v>
      </c>
      <c r="R350">
        <f>Q349 + K350</f>
        <v>0</v>
      </c>
      <c r="S350">
        <f>INT((A350-1)/12)+1</f>
        <v>0</v>
      </c>
    </row>
    <row r="351" spans="1:19">
      <c r="A351">
        <v>350</v>
      </c>
      <c r="B351">
        <f>TEXT(DATEVALUE(START&amp;"-01")+ (ROW()-2),"yyyy-mm")</f>
        <v>0</v>
      </c>
      <c r="C351">
        <f>INDEX(SEASON_FACTORS,MOD(A351-1,12)+1)</f>
        <v>0</v>
      </c>
      <c r="D351">
        <f>INT((A351-1)/12)</f>
        <v>0</v>
      </c>
      <c r="E351">
        <f>COUNTIF(THRESH_ABS,"&lt;="&amp;Q350)</f>
        <v>0</v>
      </c>
      <c r="F351">
        <f>(1+STEP)^(C351+D351)</f>
        <v>0</v>
      </c>
      <c r="G351">
        <f>P0_M2 * (1+INF_A)^(A351-1) * (1+PLUS_A)^(A351-1) * E351</f>
        <v>0</v>
      </c>
      <c r="H351">
        <f>F351 / (1+INF_A)^(A351-1)</f>
        <v>0</v>
      </c>
      <c r="I351">
        <f>F351 / PREF</f>
        <v>0</v>
      </c>
      <c r="J351">
        <f>H351 ^ EPS</f>
        <v>0</v>
      </c>
      <c r="K351">
        <f>THETA * B351 * I351</f>
        <v>0</v>
      </c>
      <c r="L351">
        <f>MIN(M350, J351 * CITY_A)</f>
        <v>0</v>
      </c>
      <c r="M351">
        <f>K351 * SIZE_M2</f>
        <v>0</v>
      </c>
      <c r="N351">
        <f>M350 - K351</f>
        <v>0</v>
      </c>
      <c r="O351">
        <f>SIZE_M2 * F351</f>
        <v>0</v>
      </c>
      <c r="P351">
        <f>L351 * F351</f>
        <v>0</v>
      </c>
      <c r="Q351">
        <f>O351 / (1+INF_A)^(A351-1)</f>
        <v>0</v>
      </c>
      <c r="R351">
        <f>Q350 + K351</f>
        <v>0</v>
      </c>
      <c r="S351">
        <f>INT((A351-1)/12)+1</f>
        <v>0</v>
      </c>
    </row>
    <row r="352" spans="1:19">
      <c r="A352">
        <v>351</v>
      </c>
      <c r="B352">
        <f>TEXT(DATEVALUE(START&amp;"-01")+ (ROW()-2),"yyyy-mm")</f>
        <v>0</v>
      </c>
      <c r="C352">
        <f>INDEX(SEASON_FACTORS,MOD(A352-1,12)+1)</f>
        <v>0</v>
      </c>
      <c r="D352">
        <f>INT((A352-1)/12)</f>
        <v>0</v>
      </c>
      <c r="E352">
        <f>COUNTIF(THRESH_ABS,"&lt;="&amp;Q351)</f>
        <v>0</v>
      </c>
      <c r="F352">
        <f>(1+STEP)^(C352+D352)</f>
        <v>0</v>
      </c>
      <c r="G352">
        <f>P0_M2 * (1+INF_A)^(A352-1) * (1+PLUS_A)^(A352-1) * E352</f>
        <v>0</v>
      </c>
      <c r="H352">
        <f>F352 / (1+INF_A)^(A352-1)</f>
        <v>0</v>
      </c>
      <c r="I352">
        <f>F352 / PREF</f>
        <v>0</v>
      </c>
      <c r="J352">
        <f>H352 ^ EPS</f>
        <v>0</v>
      </c>
      <c r="K352">
        <f>THETA * B352 * I352</f>
        <v>0</v>
      </c>
      <c r="L352">
        <f>MIN(M351, J352 * CITY_A)</f>
        <v>0</v>
      </c>
      <c r="M352">
        <f>K352 * SIZE_M2</f>
        <v>0</v>
      </c>
      <c r="N352">
        <f>M351 - K352</f>
        <v>0</v>
      </c>
      <c r="O352">
        <f>SIZE_M2 * F352</f>
        <v>0</v>
      </c>
      <c r="P352">
        <f>L352 * F352</f>
        <v>0</v>
      </c>
      <c r="Q352">
        <f>O352 / (1+INF_A)^(A352-1)</f>
        <v>0</v>
      </c>
      <c r="R352">
        <f>Q351 + K352</f>
        <v>0</v>
      </c>
      <c r="S352">
        <f>INT((A352-1)/12)+1</f>
        <v>0</v>
      </c>
    </row>
    <row r="353" spans="1:19">
      <c r="A353">
        <v>352</v>
      </c>
      <c r="B353">
        <f>TEXT(DATEVALUE(START&amp;"-01")+ (ROW()-2),"yyyy-mm")</f>
        <v>0</v>
      </c>
      <c r="C353">
        <f>INDEX(SEASON_FACTORS,MOD(A353-1,12)+1)</f>
        <v>0</v>
      </c>
      <c r="D353">
        <f>INT((A353-1)/12)</f>
        <v>0</v>
      </c>
      <c r="E353">
        <f>COUNTIF(THRESH_ABS,"&lt;="&amp;Q352)</f>
        <v>0</v>
      </c>
      <c r="F353">
        <f>(1+STEP)^(C353+D353)</f>
        <v>0</v>
      </c>
      <c r="G353">
        <f>P0_M2 * (1+INF_A)^(A353-1) * (1+PLUS_A)^(A353-1) * E353</f>
        <v>0</v>
      </c>
      <c r="H353">
        <f>F353 / (1+INF_A)^(A353-1)</f>
        <v>0</v>
      </c>
      <c r="I353">
        <f>F353 / PREF</f>
        <v>0</v>
      </c>
      <c r="J353">
        <f>H353 ^ EPS</f>
        <v>0</v>
      </c>
      <c r="K353">
        <f>THETA * B353 * I353</f>
        <v>0</v>
      </c>
      <c r="L353">
        <f>MIN(M352, J353 * CITY_A)</f>
        <v>0</v>
      </c>
      <c r="M353">
        <f>K353 * SIZE_M2</f>
        <v>0</v>
      </c>
      <c r="N353">
        <f>M352 - K353</f>
        <v>0</v>
      </c>
      <c r="O353">
        <f>SIZE_M2 * F353</f>
        <v>0</v>
      </c>
      <c r="P353">
        <f>L353 * F353</f>
        <v>0</v>
      </c>
      <c r="Q353">
        <f>O353 / (1+INF_A)^(A353-1)</f>
        <v>0</v>
      </c>
      <c r="R353">
        <f>Q352 + K353</f>
        <v>0</v>
      </c>
      <c r="S353">
        <f>INT((A353-1)/12)+1</f>
        <v>0</v>
      </c>
    </row>
    <row r="354" spans="1:19">
      <c r="A354">
        <v>353</v>
      </c>
      <c r="B354">
        <f>TEXT(DATEVALUE(START&amp;"-01")+ (ROW()-2),"yyyy-mm")</f>
        <v>0</v>
      </c>
      <c r="C354">
        <f>INDEX(SEASON_FACTORS,MOD(A354-1,12)+1)</f>
        <v>0</v>
      </c>
      <c r="D354">
        <f>INT((A354-1)/12)</f>
        <v>0</v>
      </c>
      <c r="E354">
        <f>COUNTIF(THRESH_ABS,"&lt;="&amp;Q353)</f>
        <v>0</v>
      </c>
      <c r="F354">
        <f>(1+STEP)^(C354+D354)</f>
        <v>0</v>
      </c>
      <c r="G354">
        <f>P0_M2 * (1+INF_A)^(A354-1) * (1+PLUS_A)^(A354-1) * E354</f>
        <v>0</v>
      </c>
      <c r="H354">
        <f>F354 / (1+INF_A)^(A354-1)</f>
        <v>0</v>
      </c>
      <c r="I354">
        <f>F354 / PREF</f>
        <v>0</v>
      </c>
      <c r="J354">
        <f>H354 ^ EPS</f>
        <v>0</v>
      </c>
      <c r="K354">
        <f>THETA * B354 * I354</f>
        <v>0</v>
      </c>
      <c r="L354">
        <f>MIN(M353, J354 * CITY_A)</f>
        <v>0</v>
      </c>
      <c r="M354">
        <f>K354 * SIZE_M2</f>
        <v>0</v>
      </c>
      <c r="N354">
        <f>M353 - K354</f>
        <v>0</v>
      </c>
      <c r="O354">
        <f>SIZE_M2 * F354</f>
        <v>0</v>
      </c>
      <c r="P354">
        <f>L354 * F354</f>
        <v>0</v>
      </c>
      <c r="Q354">
        <f>O354 / (1+INF_A)^(A354-1)</f>
        <v>0</v>
      </c>
      <c r="R354">
        <f>Q353 + K354</f>
        <v>0</v>
      </c>
      <c r="S354">
        <f>INT((A354-1)/12)+1</f>
        <v>0</v>
      </c>
    </row>
    <row r="355" spans="1:19">
      <c r="A355">
        <v>354</v>
      </c>
      <c r="B355">
        <f>TEXT(DATEVALUE(START&amp;"-01")+ (ROW()-2),"yyyy-mm")</f>
        <v>0</v>
      </c>
      <c r="C355">
        <f>INDEX(SEASON_FACTORS,MOD(A355-1,12)+1)</f>
        <v>0</v>
      </c>
      <c r="D355">
        <f>INT((A355-1)/12)</f>
        <v>0</v>
      </c>
      <c r="E355">
        <f>COUNTIF(THRESH_ABS,"&lt;="&amp;Q354)</f>
        <v>0</v>
      </c>
      <c r="F355">
        <f>(1+STEP)^(C355+D355)</f>
        <v>0</v>
      </c>
      <c r="G355">
        <f>P0_M2 * (1+INF_A)^(A355-1) * (1+PLUS_A)^(A355-1) * E355</f>
        <v>0</v>
      </c>
      <c r="H355">
        <f>F355 / (1+INF_A)^(A355-1)</f>
        <v>0</v>
      </c>
      <c r="I355">
        <f>F355 / PREF</f>
        <v>0</v>
      </c>
      <c r="J355">
        <f>H355 ^ EPS</f>
        <v>0</v>
      </c>
      <c r="K355">
        <f>THETA * B355 * I355</f>
        <v>0</v>
      </c>
      <c r="L355">
        <f>MIN(M354, J355 * CITY_A)</f>
        <v>0</v>
      </c>
      <c r="M355">
        <f>K355 * SIZE_M2</f>
        <v>0</v>
      </c>
      <c r="N355">
        <f>M354 - K355</f>
        <v>0</v>
      </c>
      <c r="O355">
        <f>SIZE_M2 * F355</f>
        <v>0</v>
      </c>
      <c r="P355">
        <f>L355 * F355</f>
        <v>0</v>
      </c>
      <c r="Q355">
        <f>O355 / (1+INF_A)^(A355-1)</f>
        <v>0</v>
      </c>
      <c r="R355">
        <f>Q354 + K355</f>
        <v>0</v>
      </c>
      <c r="S355">
        <f>INT((A355-1)/12)+1</f>
        <v>0</v>
      </c>
    </row>
    <row r="356" spans="1:19">
      <c r="A356">
        <v>355</v>
      </c>
      <c r="B356">
        <f>TEXT(DATEVALUE(START&amp;"-01")+ (ROW()-2),"yyyy-mm")</f>
        <v>0</v>
      </c>
      <c r="C356">
        <f>INDEX(SEASON_FACTORS,MOD(A356-1,12)+1)</f>
        <v>0</v>
      </c>
      <c r="D356">
        <f>INT((A356-1)/12)</f>
        <v>0</v>
      </c>
      <c r="E356">
        <f>COUNTIF(THRESH_ABS,"&lt;="&amp;Q355)</f>
        <v>0</v>
      </c>
      <c r="F356">
        <f>(1+STEP)^(C356+D356)</f>
        <v>0</v>
      </c>
      <c r="G356">
        <f>P0_M2 * (1+INF_A)^(A356-1) * (1+PLUS_A)^(A356-1) * E356</f>
        <v>0</v>
      </c>
      <c r="H356">
        <f>F356 / (1+INF_A)^(A356-1)</f>
        <v>0</v>
      </c>
      <c r="I356">
        <f>F356 / PREF</f>
        <v>0</v>
      </c>
      <c r="J356">
        <f>H356 ^ EPS</f>
        <v>0</v>
      </c>
      <c r="K356">
        <f>THETA * B356 * I356</f>
        <v>0</v>
      </c>
      <c r="L356">
        <f>MIN(M355, J356 * CITY_A)</f>
        <v>0</v>
      </c>
      <c r="M356">
        <f>K356 * SIZE_M2</f>
        <v>0</v>
      </c>
      <c r="N356">
        <f>M355 - K356</f>
        <v>0</v>
      </c>
      <c r="O356">
        <f>SIZE_M2 * F356</f>
        <v>0</v>
      </c>
      <c r="P356">
        <f>L356 * F356</f>
        <v>0</v>
      </c>
      <c r="Q356">
        <f>O356 / (1+INF_A)^(A356-1)</f>
        <v>0</v>
      </c>
      <c r="R356">
        <f>Q355 + K356</f>
        <v>0</v>
      </c>
      <c r="S356">
        <f>INT((A356-1)/12)+1</f>
        <v>0</v>
      </c>
    </row>
    <row r="357" spans="1:19">
      <c r="A357">
        <v>356</v>
      </c>
      <c r="B357">
        <f>TEXT(DATEVALUE(START&amp;"-01")+ (ROW()-2),"yyyy-mm")</f>
        <v>0</v>
      </c>
      <c r="C357">
        <f>INDEX(SEASON_FACTORS,MOD(A357-1,12)+1)</f>
        <v>0</v>
      </c>
      <c r="D357">
        <f>INT((A357-1)/12)</f>
        <v>0</v>
      </c>
      <c r="E357">
        <f>COUNTIF(THRESH_ABS,"&lt;="&amp;Q356)</f>
        <v>0</v>
      </c>
      <c r="F357">
        <f>(1+STEP)^(C357+D357)</f>
        <v>0</v>
      </c>
      <c r="G357">
        <f>P0_M2 * (1+INF_A)^(A357-1) * (1+PLUS_A)^(A357-1) * E357</f>
        <v>0</v>
      </c>
      <c r="H357">
        <f>F357 / (1+INF_A)^(A357-1)</f>
        <v>0</v>
      </c>
      <c r="I357">
        <f>F357 / PREF</f>
        <v>0</v>
      </c>
      <c r="J357">
        <f>H357 ^ EPS</f>
        <v>0</v>
      </c>
      <c r="K357">
        <f>THETA * B357 * I357</f>
        <v>0</v>
      </c>
      <c r="L357">
        <f>MIN(M356, J357 * CITY_A)</f>
        <v>0</v>
      </c>
      <c r="M357">
        <f>K357 * SIZE_M2</f>
        <v>0</v>
      </c>
      <c r="N357">
        <f>M356 - K357</f>
        <v>0</v>
      </c>
      <c r="O357">
        <f>SIZE_M2 * F357</f>
        <v>0</v>
      </c>
      <c r="P357">
        <f>L357 * F357</f>
        <v>0</v>
      </c>
      <c r="Q357">
        <f>O357 / (1+INF_A)^(A357-1)</f>
        <v>0</v>
      </c>
      <c r="R357">
        <f>Q356 + K357</f>
        <v>0</v>
      </c>
      <c r="S357">
        <f>INT((A357-1)/12)+1</f>
        <v>0</v>
      </c>
    </row>
    <row r="358" spans="1:19">
      <c r="A358">
        <v>357</v>
      </c>
      <c r="B358">
        <f>TEXT(DATEVALUE(START&amp;"-01")+ (ROW()-2),"yyyy-mm")</f>
        <v>0</v>
      </c>
      <c r="C358">
        <f>INDEX(SEASON_FACTORS,MOD(A358-1,12)+1)</f>
        <v>0</v>
      </c>
      <c r="D358">
        <f>INT((A358-1)/12)</f>
        <v>0</v>
      </c>
      <c r="E358">
        <f>COUNTIF(THRESH_ABS,"&lt;="&amp;Q357)</f>
        <v>0</v>
      </c>
      <c r="F358">
        <f>(1+STEP)^(C358+D358)</f>
        <v>0</v>
      </c>
      <c r="G358">
        <f>P0_M2 * (1+INF_A)^(A358-1) * (1+PLUS_A)^(A358-1) * E358</f>
        <v>0</v>
      </c>
      <c r="H358">
        <f>F358 / (1+INF_A)^(A358-1)</f>
        <v>0</v>
      </c>
      <c r="I358">
        <f>F358 / PREF</f>
        <v>0</v>
      </c>
      <c r="J358">
        <f>H358 ^ EPS</f>
        <v>0</v>
      </c>
      <c r="K358">
        <f>THETA * B358 * I358</f>
        <v>0</v>
      </c>
      <c r="L358">
        <f>MIN(M357, J358 * CITY_A)</f>
        <v>0</v>
      </c>
      <c r="M358">
        <f>K358 * SIZE_M2</f>
        <v>0</v>
      </c>
      <c r="N358">
        <f>M357 - K358</f>
        <v>0</v>
      </c>
      <c r="O358">
        <f>SIZE_M2 * F358</f>
        <v>0</v>
      </c>
      <c r="P358">
        <f>L358 * F358</f>
        <v>0</v>
      </c>
      <c r="Q358">
        <f>O358 / (1+INF_A)^(A358-1)</f>
        <v>0</v>
      </c>
      <c r="R358">
        <f>Q357 + K358</f>
        <v>0</v>
      </c>
      <c r="S358">
        <f>INT((A358-1)/12)+1</f>
        <v>0</v>
      </c>
    </row>
    <row r="359" spans="1:19">
      <c r="A359">
        <v>358</v>
      </c>
      <c r="B359">
        <f>TEXT(DATEVALUE(START&amp;"-01")+ (ROW()-2),"yyyy-mm")</f>
        <v>0</v>
      </c>
      <c r="C359">
        <f>INDEX(SEASON_FACTORS,MOD(A359-1,12)+1)</f>
        <v>0</v>
      </c>
      <c r="D359">
        <f>INT((A359-1)/12)</f>
        <v>0</v>
      </c>
      <c r="E359">
        <f>COUNTIF(THRESH_ABS,"&lt;="&amp;Q358)</f>
        <v>0</v>
      </c>
      <c r="F359">
        <f>(1+STEP)^(C359+D359)</f>
        <v>0</v>
      </c>
      <c r="G359">
        <f>P0_M2 * (1+INF_A)^(A359-1) * (1+PLUS_A)^(A359-1) * E359</f>
        <v>0</v>
      </c>
      <c r="H359">
        <f>F359 / (1+INF_A)^(A359-1)</f>
        <v>0</v>
      </c>
      <c r="I359">
        <f>F359 / PREF</f>
        <v>0</v>
      </c>
      <c r="J359">
        <f>H359 ^ EPS</f>
        <v>0</v>
      </c>
      <c r="K359">
        <f>THETA * B359 * I359</f>
        <v>0</v>
      </c>
      <c r="L359">
        <f>MIN(M358, J359 * CITY_A)</f>
        <v>0</v>
      </c>
      <c r="M359">
        <f>K359 * SIZE_M2</f>
        <v>0</v>
      </c>
      <c r="N359">
        <f>M358 - K359</f>
        <v>0</v>
      </c>
      <c r="O359">
        <f>SIZE_M2 * F359</f>
        <v>0</v>
      </c>
      <c r="P359">
        <f>L359 * F359</f>
        <v>0</v>
      </c>
      <c r="Q359">
        <f>O359 / (1+INF_A)^(A359-1)</f>
        <v>0</v>
      </c>
      <c r="R359">
        <f>Q358 + K359</f>
        <v>0</v>
      </c>
      <c r="S359">
        <f>INT((A359-1)/12)+1</f>
        <v>0</v>
      </c>
    </row>
    <row r="360" spans="1:19">
      <c r="A360">
        <v>359</v>
      </c>
      <c r="B360">
        <f>TEXT(DATEVALUE(START&amp;"-01")+ (ROW()-2),"yyyy-mm")</f>
        <v>0</v>
      </c>
      <c r="C360">
        <f>INDEX(SEASON_FACTORS,MOD(A360-1,12)+1)</f>
        <v>0</v>
      </c>
      <c r="D360">
        <f>INT((A360-1)/12)</f>
        <v>0</v>
      </c>
      <c r="E360">
        <f>COUNTIF(THRESH_ABS,"&lt;="&amp;Q359)</f>
        <v>0</v>
      </c>
      <c r="F360">
        <f>(1+STEP)^(C360+D360)</f>
        <v>0</v>
      </c>
      <c r="G360">
        <f>P0_M2 * (1+INF_A)^(A360-1) * (1+PLUS_A)^(A360-1) * E360</f>
        <v>0</v>
      </c>
      <c r="H360">
        <f>F360 / (1+INF_A)^(A360-1)</f>
        <v>0</v>
      </c>
      <c r="I360">
        <f>F360 / PREF</f>
        <v>0</v>
      </c>
      <c r="J360">
        <f>H360 ^ EPS</f>
        <v>0</v>
      </c>
      <c r="K360">
        <f>THETA * B360 * I360</f>
        <v>0</v>
      </c>
      <c r="L360">
        <f>MIN(M359, J360 * CITY_A)</f>
        <v>0</v>
      </c>
      <c r="M360">
        <f>K360 * SIZE_M2</f>
        <v>0</v>
      </c>
      <c r="N360">
        <f>M359 - K360</f>
        <v>0</v>
      </c>
      <c r="O360">
        <f>SIZE_M2 * F360</f>
        <v>0</v>
      </c>
      <c r="P360">
        <f>L360 * F360</f>
        <v>0</v>
      </c>
      <c r="Q360">
        <f>O360 / (1+INF_A)^(A360-1)</f>
        <v>0</v>
      </c>
      <c r="R360">
        <f>Q359 + K360</f>
        <v>0</v>
      </c>
      <c r="S360">
        <f>INT((A360-1)/12)+1</f>
        <v>0</v>
      </c>
    </row>
    <row r="361" spans="1:19">
      <c r="A361">
        <v>360</v>
      </c>
    </row>
  </sheetData>
  <autoFilter ref="A1:S36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/>
  </sheetViews>
  <sheetFormatPr defaultRowHeight="15"/>
  <cols>
    <col min="1" max="8" width="22.7109375" customWidth="1"/>
  </cols>
  <sheetData>
    <row r="1" spans="1:8">
      <c r="A1" t="s">
        <v>69</v>
      </c>
      <c r="B1" t="s">
        <v>70</v>
      </c>
      <c r="C1" t="s">
        <v>71</v>
      </c>
      <c r="D1" t="s">
        <v>72</v>
      </c>
      <c r="E1" t="s">
        <v>73</v>
      </c>
      <c r="F1" t="s">
        <v>74</v>
      </c>
      <c r="G1" t="s">
        <v>75</v>
      </c>
      <c r="H1" t="s">
        <v>76</v>
      </c>
    </row>
    <row r="2" spans="1:8">
      <c r="A2">
        <v>1</v>
      </c>
      <c r="B2">
        <f>COUNTIF(Monthly!$S:$S,1)</f>
        <v>0</v>
      </c>
      <c r="C2">
        <f>IF(B2=0,"",AVERAGEIF(Monthly!$S:$S,1,Monthly!$F:$F))</f>
        <v>0</v>
      </c>
      <c r="D2">
        <f>IF(B2=0,"",AVERAGEIF(Monthly!$S:$S,1,Monthly!$K:$K))</f>
        <v>0</v>
      </c>
      <c r="E2">
        <f>IF(B2=0,"",AVERAGEIF(Monthly!$S:$S,1,Monthly!$L:$L))</f>
        <v>0</v>
      </c>
      <c r="F2">
        <f>IF(B2=0,"",LOOKUP(2,1/(Monthly!$S:$S=1),Monthly!$M:$M))</f>
        <v>0</v>
      </c>
      <c r="G2">
        <f>IF(B2=0,"",AVERAGEIF(Monthly!$S:$S,1,Monthly!$O:$O))</f>
        <v>0</v>
      </c>
      <c r="H2">
        <f>IF(B2=0,"",AVERAGEIF(Monthly!$S:$S,1,Monthly!$P:$P))</f>
        <v>0</v>
      </c>
    </row>
    <row r="3" spans="1:8">
      <c r="A3">
        <v>2</v>
      </c>
      <c r="B3">
        <f>COUNTIF(Monthly!$S:$S,2)</f>
        <v>0</v>
      </c>
      <c r="C3">
        <f>IF(B3=0,"",AVERAGEIF(Monthly!$S:$S,2,Monthly!$F:$F))</f>
        <v>0</v>
      </c>
      <c r="D3">
        <f>IF(B3=0,"",AVERAGEIF(Monthly!$S:$S,2,Monthly!$K:$K))</f>
        <v>0</v>
      </c>
      <c r="E3">
        <f>IF(B3=0,"",AVERAGEIF(Monthly!$S:$S,2,Monthly!$L:$L))</f>
        <v>0</v>
      </c>
      <c r="F3">
        <f>IF(B3=0,"",LOOKUP(2,1/(Monthly!$S:$S=2),Monthly!$M:$M))</f>
        <v>0</v>
      </c>
      <c r="G3">
        <f>IF(B3=0,"",AVERAGEIF(Monthly!$S:$S,2,Monthly!$O:$O))</f>
        <v>0</v>
      </c>
      <c r="H3">
        <f>IF(B3=0,"",AVERAGEIF(Monthly!$S:$S,2,Monthly!$P:$P))</f>
        <v>0</v>
      </c>
    </row>
    <row r="4" spans="1:8">
      <c r="A4">
        <v>3</v>
      </c>
      <c r="B4">
        <f>COUNTIF(Monthly!$S:$S,3)</f>
        <v>0</v>
      </c>
      <c r="C4">
        <f>IF(B4=0,"",AVERAGEIF(Monthly!$S:$S,3,Monthly!$F:$F))</f>
        <v>0</v>
      </c>
      <c r="D4">
        <f>IF(B4=0,"",AVERAGEIF(Monthly!$S:$S,3,Monthly!$K:$K))</f>
        <v>0</v>
      </c>
      <c r="E4">
        <f>IF(B4=0,"",AVERAGEIF(Monthly!$S:$S,3,Monthly!$L:$L))</f>
        <v>0</v>
      </c>
      <c r="F4">
        <f>IF(B4=0,"",LOOKUP(2,1/(Monthly!$S:$S=3),Monthly!$M:$M))</f>
        <v>0</v>
      </c>
      <c r="G4">
        <f>IF(B4=0,"",AVERAGEIF(Monthly!$S:$S,3,Monthly!$O:$O))</f>
        <v>0</v>
      </c>
      <c r="H4">
        <f>IF(B4=0,"",AVERAGEIF(Monthly!$S:$S,3,Monthly!$P:$P))</f>
        <v>0</v>
      </c>
    </row>
    <row r="5" spans="1:8">
      <c r="A5">
        <v>4</v>
      </c>
      <c r="B5">
        <f>COUNTIF(Monthly!$S:$S,4)</f>
        <v>0</v>
      </c>
      <c r="C5">
        <f>IF(B5=0,"",AVERAGEIF(Monthly!$S:$S,4,Monthly!$F:$F))</f>
        <v>0</v>
      </c>
      <c r="D5">
        <f>IF(B5=0,"",AVERAGEIF(Monthly!$S:$S,4,Monthly!$K:$K))</f>
        <v>0</v>
      </c>
      <c r="E5">
        <f>IF(B5=0,"",AVERAGEIF(Monthly!$S:$S,4,Monthly!$L:$L))</f>
        <v>0</v>
      </c>
      <c r="F5">
        <f>IF(B5=0,"",LOOKUP(2,1/(Monthly!$S:$S=4),Monthly!$M:$M))</f>
        <v>0</v>
      </c>
      <c r="G5">
        <f>IF(B5=0,"",AVERAGEIF(Monthly!$S:$S,4,Monthly!$O:$O))</f>
        <v>0</v>
      </c>
      <c r="H5">
        <f>IF(B5=0,"",AVERAGEIF(Monthly!$S:$S,4,Monthly!$P:$P))</f>
        <v>0</v>
      </c>
    </row>
    <row r="6" spans="1:8">
      <c r="A6">
        <v>5</v>
      </c>
      <c r="B6">
        <f>COUNTIF(Monthly!$S:$S,5)</f>
        <v>0</v>
      </c>
      <c r="C6">
        <f>IF(B6=0,"",AVERAGEIF(Monthly!$S:$S,5,Monthly!$F:$F))</f>
        <v>0</v>
      </c>
      <c r="D6">
        <f>IF(B6=0,"",AVERAGEIF(Monthly!$S:$S,5,Monthly!$K:$K))</f>
        <v>0</v>
      </c>
      <c r="E6">
        <f>IF(B6=0,"",AVERAGEIF(Monthly!$S:$S,5,Monthly!$L:$L))</f>
        <v>0</v>
      </c>
      <c r="F6">
        <f>IF(B6=0,"",LOOKUP(2,1/(Monthly!$S:$S=5),Monthly!$M:$M))</f>
        <v>0</v>
      </c>
      <c r="G6">
        <f>IF(B6=0,"",AVERAGEIF(Monthly!$S:$S,5,Monthly!$O:$O))</f>
        <v>0</v>
      </c>
      <c r="H6">
        <f>IF(B6=0,"",AVERAGEIF(Monthly!$S:$S,5,Monthly!$P:$P))</f>
        <v>0</v>
      </c>
    </row>
    <row r="7" spans="1:8">
      <c r="A7">
        <v>6</v>
      </c>
      <c r="B7">
        <f>COUNTIF(Monthly!$S:$S,6)</f>
        <v>0</v>
      </c>
      <c r="C7">
        <f>IF(B7=0,"",AVERAGEIF(Monthly!$S:$S,6,Monthly!$F:$F))</f>
        <v>0</v>
      </c>
      <c r="D7">
        <f>IF(B7=0,"",AVERAGEIF(Monthly!$S:$S,6,Monthly!$K:$K))</f>
        <v>0</v>
      </c>
      <c r="E7">
        <f>IF(B7=0,"",AVERAGEIF(Monthly!$S:$S,6,Monthly!$L:$L))</f>
        <v>0</v>
      </c>
      <c r="F7">
        <f>IF(B7=0,"",LOOKUP(2,1/(Monthly!$S:$S=6),Monthly!$M:$M))</f>
        <v>0</v>
      </c>
      <c r="G7">
        <f>IF(B7=0,"",AVERAGEIF(Monthly!$S:$S,6,Monthly!$O:$O))</f>
        <v>0</v>
      </c>
      <c r="H7">
        <f>IF(B7=0,"",AVERAGEIF(Monthly!$S:$S,6,Monthly!$P:$P))</f>
        <v>0</v>
      </c>
    </row>
    <row r="8" spans="1:8">
      <c r="A8">
        <v>7</v>
      </c>
      <c r="B8">
        <f>COUNTIF(Monthly!$S:$S,7)</f>
        <v>0</v>
      </c>
      <c r="C8">
        <f>IF(B8=0,"",AVERAGEIF(Monthly!$S:$S,7,Monthly!$F:$F))</f>
        <v>0</v>
      </c>
      <c r="D8">
        <f>IF(B8=0,"",AVERAGEIF(Monthly!$S:$S,7,Monthly!$K:$K))</f>
        <v>0</v>
      </c>
      <c r="E8">
        <f>IF(B8=0,"",AVERAGEIF(Monthly!$S:$S,7,Monthly!$L:$L))</f>
        <v>0</v>
      </c>
      <c r="F8">
        <f>IF(B8=0,"",LOOKUP(2,1/(Monthly!$S:$S=7),Monthly!$M:$M))</f>
        <v>0</v>
      </c>
      <c r="G8">
        <f>IF(B8=0,"",AVERAGEIF(Monthly!$S:$S,7,Monthly!$O:$O))</f>
        <v>0</v>
      </c>
      <c r="H8">
        <f>IF(B8=0,"",AVERAGEIF(Monthly!$S:$S,7,Monthly!$P:$P))</f>
        <v>0</v>
      </c>
    </row>
    <row r="9" spans="1:8">
      <c r="A9">
        <v>8</v>
      </c>
      <c r="B9">
        <f>COUNTIF(Monthly!$S:$S,8)</f>
        <v>0</v>
      </c>
      <c r="C9">
        <f>IF(B9=0,"",AVERAGEIF(Monthly!$S:$S,8,Monthly!$F:$F))</f>
        <v>0</v>
      </c>
      <c r="D9">
        <f>IF(B9=0,"",AVERAGEIF(Monthly!$S:$S,8,Monthly!$K:$K))</f>
        <v>0</v>
      </c>
      <c r="E9">
        <f>IF(B9=0,"",AVERAGEIF(Monthly!$S:$S,8,Monthly!$L:$L))</f>
        <v>0</v>
      </c>
      <c r="F9">
        <f>IF(B9=0,"",LOOKUP(2,1/(Monthly!$S:$S=8),Monthly!$M:$M))</f>
        <v>0</v>
      </c>
      <c r="G9">
        <f>IF(B9=0,"",AVERAGEIF(Monthly!$S:$S,8,Monthly!$O:$O))</f>
        <v>0</v>
      </c>
      <c r="H9">
        <f>IF(B9=0,"",AVERAGEIF(Monthly!$S:$S,8,Monthly!$P:$P))</f>
        <v>0</v>
      </c>
    </row>
    <row r="10" spans="1:8">
      <c r="A10">
        <v>9</v>
      </c>
      <c r="B10">
        <f>COUNTIF(Monthly!$S:$S,9)</f>
        <v>0</v>
      </c>
      <c r="C10">
        <f>IF(B10=0,"",AVERAGEIF(Monthly!$S:$S,9,Monthly!$F:$F))</f>
        <v>0</v>
      </c>
      <c r="D10">
        <f>IF(B10=0,"",AVERAGEIF(Monthly!$S:$S,9,Monthly!$K:$K))</f>
        <v>0</v>
      </c>
      <c r="E10">
        <f>IF(B10=0,"",AVERAGEIF(Monthly!$S:$S,9,Monthly!$L:$L))</f>
        <v>0</v>
      </c>
      <c r="F10">
        <f>IF(B10=0,"",LOOKUP(2,1/(Monthly!$S:$S=9),Monthly!$M:$M))</f>
        <v>0</v>
      </c>
      <c r="G10">
        <f>IF(B10=0,"",AVERAGEIF(Monthly!$S:$S,9,Monthly!$O:$O))</f>
        <v>0</v>
      </c>
      <c r="H10">
        <f>IF(B10=0,"",AVERAGEIF(Monthly!$S:$S,9,Monthly!$P:$P))</f>
        <v>0</v>
      </c>
    </row>
    <row r="11" spans="1:8">
      <c r="A11">
        <v>10</v>
      </c>
      <c r="B11">
        <f>COUNTIF(Monthly!$S:$S,10)</f>
        <v>0</v>
      </c>
      <c r="C11">
        <f>IF(B11=0,"",AVERAGEIF(Monthly!$S:$S,10,Monthly!$F:$F))</f>
        <v>0</v>
      </c>
      <c r="D11">
        <f>IF(B11=0,"",AVERAGEIF(Monthly!$S:$S,10,Monthly!$K:$K))</f>
        <v>0</v>
      </c>
      <c r="E11">
        <f>IF(B11=0,"",AVERAGEIF(Monthly!$S:$S,10,Monthly!$L:$L))</f>
        <v>0</v>
      </c>
      <c r="F11">
        <f>IF(B11=0,"",LOOKUP(2,1/(Monthly!$S:$S=10),Monthly!$M:$M))</f>
        <v>0</v>
      </c>
      <c r="G11">
        <f>IF(B11=0,"",AVERAGEIF(Monthly!$S:$S,10,Monthly!$O:$O))</f>
        <v>0</v>
      </c>
      <c r="H11">
        <f>IF(B11=0,"",AVERAGEIF(Monthly!$S:$S,10,Monthly!$P:$P))</f>
        <v>0</v>
      </c>
    </row>
    <row r="12" spans="1:8">
      <c r="A12">
        <v>11</v>
      </c>
      <c r="B12">
        <f>COUNTIF(Monthly!$S:$S,11)</f>
        <v>0</v>
      </c>
      <c r="C12">
        <f>IF(B12=0,"",AVERAGEIF(Monthly!$S:$S,11,Monthly!$F:$F))</f>
        <v>0</v>
      </c>
      <c r="D12">
        <f>IF(B12=0,"",AVERAGEIF(Monthly!$S:$S,11,Monthly!$K:$K))</f>
        <v>0</v>
      </c>
      <c r="E12">
        <f>IF(B12=0,"",AVERAGEIF(Monthly!$S:$S,11,Monthly!$L:$L))</f>
        <v>0</v>
      </c>
      <c r="F12">
        <f>IF(B12=0,"",LOOKUP(2,1/(Monthly!$S:$S=11),Monthly!$M:$M))</f>
        <v>0</v>
      </c>
      <c r="G12">
        <f>IF(B12=0,"",AVERAGEIF(Monthly!$S:$S,11,Monthly!$O:$O))</f>
        <v>0</v>
      </c>
      <c r="H12">
        <f>IF(B12=0,"",AVERAGEIF(Monthly!$S:$S,11,Monthly!$P:$P))</f>
        <v>0</v>
      </c>
    </row>
    <row r="13" spans="1:8">
      <c r="A13">
        <v>12</v>
      </c>
      <c r="B13">
        <f>COUNTIF(Monthly!$S:$S,12)</f>
        <v>0</v>
      </c>
      <c r="C13">
        <f>IF(B13=0,"",AVERAGEIF(Monthly!$S:$S,12,Monthly!$F:$F))</f>
        <v>0</v>
      </c>
      <c r="D13">
        <f>IF(B13=0,"",AVERAGEIF(Monthly!$S:$S,12,Monthly!$K:$K))</f>
        <v>0</v>
      </c>
      <c r="E13">
        <f>IF(B13=0,"",AVERAGEIF(Monthly!$S:$S,12,Monthly!$L:$L))</f>
        <v>0</v>
      </c>
      <c r="F13">
        <f>IF(B13=0,"",LOOKUP(2,1/(Monthly!$S:$S=12),Monthly!$M:$M))</f>
        <v>0</v>
      </c>
      <c r="G13">
        <f>IF(B13=0,"",AVERAGEIF(Monthly!$S:$S,12,Monthly!$O:$O))</f>
        <v>0</v>
      </c>
      <c r="H13">
        <f>IF(B13=0,"",AVERAGEIF(Monthly!$S:$S,12,Monthly!$P:$P))</f>
        <v>0</v>
      </c>
    </row>
    <row r="14" spans="1:8">
      <c r="A14">
        <v>13</v>
      </c>
      <c r="B14">
        <f>COUNTIF(Monthly!$S:$S,13)</f>
        <v>0</v>
      </c>
      <c r="C14">
        <f>IF(B14=0,"",AVERAGEIF(Monthly!$S:$S,13,Monthly!$F:$F))</f>
        <v>0</v>
      </c>
      <c r="D14">
        <f>IF(B14=0,"",AVERAGEIF(Monthly!$S:$S,13,Monthly!$K:$K))</f>
        <v>0</v>
      </c>
      <c r="E14">
        <f>IF(B14=0,"",AVERAGEIF(Monthly!$S:$S,13,Monthly!$L:$L))</f>
        <v>0</v>
      </c>
      <c r="F14">
        <f>IF(B14=0,"",LOOKUP(2,1/(Monthly!$S:$S=13),Monthly!$M:$M))</f>
        <v>0</v>
      </c>
      <c r="G14">
        <f>IF(B14=0,"",AVERAGEIF(Monthly!$S:$S,13,Monthly!$O:$O))</f>
        <v>0</v>
      </c>
      <c r="H14">
        <f>IF(B14=0,"",AVERAGEIF(Monthly!$S:$S,13,Monthly!$P:$P))</f>
        <v>0</v>
      </c>
    </row>
    <row r="15" spans="1:8">
      <c r="A15">
        <v>14</v>
      </c>
      <c r="B15">
        <f>COUNTIF(Monthly!$S:$S,14)</f>
        <v>0</v>
      </c>
      <c r="C15">
        <f>IF(B15=0,"",AVERAGEIF(Monthly!$S:$S,14,Monthly!$F:$F))</f>
        <v>0</v>
      </c>
      <c r="D15">
        <f>IF(B15=0,"",AVERAGEIF(Monthly!$S:$S,14,Monthly!$K:$K))</f>
        <v>0</v>
      </c>
      <c r="E15">
        <f>IF(B15=0,"",AVERAGEIF(Monthly!$S:$S,14,Monthly!$L:$L))</f>
        <v>0</v>
      </c>
      <c r="F15">
        <f>IF(B15=0,"",LOOKUP(2,1/(Monthly!$S:$S=14),Monthly!$M:$M))</f>
        <v>0</v>
      </c>
      <c r="G15">
        <f>IF(B15=0,"",AVERAGEIF(Monthly!$S:$S,14,Monthly!$O:$O))</f>
        <v>0</v>
      </c>
      <c r="H15">
        <f>IF(B15=0,"",AVERAGEIF(Monthly!$S:$S,14,Monthly!$P:$P))</f>
        <v>0</v>
      </c>
    </row>
    <row r="16" spans="1:8">
      <c r="A16">
        <v>15</v>
      </c>
      <c r="B16">
        <f>COUNTIF(Monthly!$S:$S,15)</f>
        <v>0</v>
      </c>
      <c r="C16">
        <f>IF(B16=0,"",AVERAGEIF(Monthly!$S:$S,15,Monthly!$F:$F))</f>
        <v>0</v>
      </c>
      <c r="D16">
        <f>IF(B16=0,"",AVERAGEIF(Monthly!$S:$S,15,Monthly!$K:$K))</f>
        <v>0</v>
      </c>
      <c r="E16">
        <f>IF(B16=0,"",AVERAGEIF(Monthly!$S:$S,15,Monthly!$L:$L))</f>
        <v>0</v>
      </c>
      <c r="F16">
        <f>IF(B16=0,"",LOOKUP(2,1/(Monthly!$S:$S=15),Monthly!$M:$M))</f>
        <v>0</v>
      </c>
      <c r="G16">
        <f>IF(B16=0,"",AVERAGEIF(Monthly!$S:$S,15,Monthly!$O:$O))</f>
        <v>0</v>
      </c>
      <c r="H16">
        <f>IF(B16=0,"",AVERAGEIF(Monthly!$S:$S,15,Monthly!$P:$P))</f>
        <v>0</v>
      </c>
    </row>
    <row r="17" spans="1:8">
      <c r="A17">
        <v>16</v>
      </c>
      <c r="B17">
        <f>COUNTIF(Monthly!$S:$S,16)</f>
        <v>0</v>
      </c>
      <c r="C17">
        <f>IF(B17=0,"",AVERAGEIF(Monthly!$S:$S,16,Monthly!$F:$F))</f>
        <v>0</v>
      </c>
      <c r="D17">
        <f>IF(B17=0,"",AVERAGEIF(Monthly!$S:$S,16,Monthly!$K:$K))</f>
        <v>0</v>
      </c>
      <c r="E17">
        <f>IF(B17=0,"",AVERAGEIF(Monthly!$S:$S,16,Monthly!$L:$L))</f>
        <v>0</v>
      </c>
      <c r="F17">
        <f>IF(B17=0,"",LOOKUP(2,1/(Monthly!$S:$S=16),Monthly!$M:$M))</f>
        <v>0</v>
      </c>
      <c r="G17">
        <f>IF(B17=0,"",AVERAGEIF(Monthly!$S:$S,16,Monthly!$O:$O))</f>
        <v>0</v>
      </c>
      <c r="H17">
        <f>IF(B17=0,"",AVERAGEIF(Monthly!$S:$S,16,Monthly!$P:$P))</f>
        <v>0</v>
      </c>
    </row>
    <row r="18" spans="1:8">
      <c r="A18">
        <v>17</v>
      </c>
      <c r="B18">
        <f>COUNTIF(Monthly!$S:$S,17)</f>
        <v>0</v>
      </c>
      <c r="C18">
        <f>IF(B18=0,"",AVERAGEIF(Monthly!$S:$S,17,Monthly!$F:$F))</f>
        <v>0</v>
      </c>
      <c r="D18">
        <f>IF(B18=0,"",AVERAGEIF(Monthly!$S:$S,17,Monthly!$K:$K))</f>
        <v>0</v>
      </c>
      <c r="E18">
        <f>IF(B18=0,"",AVERAGEIF(Monthly!$S:$S,17,Monthly!$L:$L))</f>
        <v>0</v>
      </c>
      <c r="F18">
        <f>IF(B18=0,"",LOOKUP(2,1/(Monthly!$S:$S=17),Monthly!$M:$M))</f>
        <v>0</v>
      </c>
      <c r="G18">
        <f>IF(B18=0,"",AVERAGEIF(Monthly!$S:$S,17,Monthly!$O:$O))</f>
        <v>0</v>
      </c>
      <c r="H18">
        <f>IF(B18=0,"",AVERAGEIF(Monthly!$S:$S,17,Monthly!$P:$P))</f>
        <v>0</v>
      </c>
    </row>
    <row r="19" spans="1:8">
      <c r="A19">
        <v>18</v>
      </c>
      <c r="B19">
        <f>COUNTIF(Monthly!$S:$S,18)</f>
        <v>0</v>
      </c>
      <c r="C19">
        <f>IF(B19=0,"",AVERAGEIF(Monthly!$S:$S,18,Monthly!$F:$F))</f>
        <v>0</v>
      </c>
      <c r="D19">
        <f>IF(B19=0,"",AVERAGEIF(Monthly!$S:$S,18,Monthly!$K:$K))</f>
        <v>0</v>
      </c>
      <c r="E19">
        <f>IF(B19=0,"",AVERAGEIF(Monthly!$S:$S,18,Monthly!$L:$L))</f>
        <v>0</v>
      </c>
      <c r="F19">
        <f>IF(B19=0,"",LOOKUP(2,1/(Monthly!$S:$S=18),Monthly!$M:$M))</f>
        <v>0</v>
      </c>
      <c r="G19">
        <f>IF(B19=0,"",AVERAGEIF(Monthly!$S:$S,18,Monthly!$O:$O))</f>
        <v>0</v>
      </c>
      <c r="H19">
        <f>IF(B19=0,"",AVERAGEIF(Monthly!$S:$S,18,Monthly!$P:$P))</f>
        <v>0</v>
      </c>
    </row>
    <row r="20" spans="1:8">
      <c r="A20">
        <v>19</v>
      </c>
      <c r="B20">
        <f>COUNTIF(Monthly!$S:$S,19)</f>
        <v>0</v>
      </c>
      <c r="C20">
        <f>IF(B20=0,"",AVERAGEIF(Monthly!$S:$S,19,Monthly!$F:$F))</f>
        <v>0</v>
      </c>
      <c r="D20">
        <f>IF(B20=0,"",AVERAGEIF(Monthly!$S:$S,19,Monthly!$K:$K))</f>
        <v>0</v>
      </c>
      <c r="E20">
        <f>IF(B20=0,"",AVERAGEIF(Monthly!$S:$S,19,Monthly!$L:$L))</f>
        <v>0</v>
      </c>
      <c r="F20">
        <f>IF(B20=0,"",LOOKUP(2,1/(Monthly!$S:$S=19),Monthly!$M:$M))</f>
        <v>0</v>
      </c>
      <c r="G20">
        <f>IF(B20=0,"",AVERAGEIF(Monthly!$S:$S,19,Monthly!$O:$O))</f>
        <v>0</v>
      </c>
      <c r="H20">
        <f>IF(B20=0,"",AVERAGEIF(Monthly!$S:$S,19,Monthly!$P:$P))</f>
        <v>0</v>
      </c>
    </row>
    <row r="21" spans="1:8">
      <c r="A21">
        <v>20</v>
      </c>
      <c r="B21">
        <f>COUNTIF(Monthly!$S:$S,20)</f>
        <v>0</v>
      </c>
      <c r="C21">
        <f>IF(B21=0,"",AVERAGEIF(Monthly!$S:$S,20,Monthly!$F:$F))</f>
        <v>0</v>
      </c>
      <c r="D21">
        <f>IF(B21=0,"",AVERAGEIF(Monthly!$S:$S,20,Monthly!$K:$K))</f>
        <v>0</v>
      </c>
      <c r="E21">
        <f>IF(B21=0,"",AVERAGEIF(Monthly!$S:$S,20,Monthly!$L:$L))</f>
        <v>0</v>
      </c>
      <c r="F21">
        <f>IF(B21=0,"",LOOKUP(2,1/(Monthly!$S:$S=20),Monthly!$M:$M))</f>
        <v>0</v>
      </c>
      <c r="G21">
        <f>IF(B21=0,"",AVERAGEIF(Monthly!$S:$S,20,Monthly!$O:$O))</f>
        <v>0</v>
      </c>
      <c r="H21">
        <f>IF(B21=0,"",AVERAGEIF(Monthly!$S:$S,20,Monthly!$P:$P))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6"/>
  <sheetViews>
    <sheetView workbookViewId="0"/>
  </sheetViews>
  <sheetFormatPr defaultRowHeight="15"/>
  <cols>
    <col min="1" max="2" width="44.7109375" customWidth="1"/>
  </cols>
  <sheetData>
    <row r="1" spans="1:2">
      <c r="A1" t="s">
        <v>77</v>
      </c>
      <c r="B1" t="s">
        <v>10</v>
      </c>
    </row>
    <row r="2" spans="1:2">
      <c r="A2" t="s">
        <v>78</v>
      </c>
      <c r="B2">
        <f>MATCH(TRUE,Monthly!$M:$M&lt;=0,0)</f>
        <v>0</v>
      </c>
    </row>
    <row r="3" spans="1:2">
      <c r="A3" t="s">
        <v>79</v>
      </c>
      <c r="B3">
        <f>SUM(Monthly!$K:$K)</f>
        <v>0</v>
      </c>
    </row>
    <row r="4" spans="1:2">
      <c r="A4" t="s">
        <v>80</v>
      </c>
      <c r="B4">
        <f>SUM(Monthly!$L:$L)</f>
        <v>0</v>
      </c>
    </row>
    <row r="5" spans="1:2">
      <c r="A5" t="s">
        <v>81</v>
      </c>
      <c r="B5">
        <f>B3/B2</f>
        <v>0</v>
      </c>
    </row>
    <row r="6" spans="1:2">
      <c r="A6" t="s">
        <v>82</v>
      </c>
      <c r="B6">
        <f>B4/B2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13</vt:i4>
      </vt:variant>
    </vt:vector>
  </HeadingPairs>
  <TitlesOfParts>
    <vt:vector size="20" baseType="lpstr">
      <vt:lpstr>README</vt:lpstr>
      <vt:lpstr>Inputs</vt:lpstr>
      <vt:lpstr>Seasonality</vt:lpstr>
      <vt:lpstr>Thresholds</vt:lpstr>
      <vt:lpstr>Monthly</vt:lpstr>
      <vt:lpstr>Annual</vt:lpstr>
      <vt:lpstr>Check</vt:lpstr>
      <vt:lpstr>CITY_A</vt:lpstr>
      <vt:lpstr>EPS</vt:lpstr>
      <vt:lpstr>INF_A</vt:lpstr>
      <vt:lpstr>P0_M2</vt:lpstr>
      <vt:lpstr>PLUS_A</vt:lpstr>
      <vt:lpstr>PREF</vt:lpstr>
      <vt:lpstr>SEASON_FACTORS</vt:lpstr>
      <vt:lpstr>SIZE_M2</vt:lpstr>
      <vt:lpstr>START</vt:lpstr>
      <vt:lpstr>STEP</vt:lpstr>
      <vt:lpstr>THETA</vt:lpstr>
      <vt:lpstr>THRESH_ABS</vt:lpstr>
      <vt:lpstr>THRESH_FRAC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2025-10-20T20:34:05Z</dcterms:created>
  <dcterms:modified xsi:type="dcterms:W3CDTF">2025-10-20T20:34:05Z</dcterms:modified>
</cp:coreProperties>
</file>