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ma\Documents\ADMINISTRACION\CXC\"/>
    </mc:Choice>
  </mc:AlternateContent>
  <xr:revisionPtr revIDLastSave="0" documentId="13_ncr:1_{452E2528-EBEA-4D4B-8DD6-AD9143903BEE}" xr6:coauthVersionLast="47" xr6:coauthVersionMax="47" xr10:uidLastSave="{00000000-0000-0000-0000-000000000000}"/>
  <bookViews>
    <workbookView xWindow="-120" yWindow="-120" windowWidth="29040" windowHeight="15720" activeTab="3" xr2:uid="{FE303339-5AC4-4BC0-8391-CDA0EC8A7416}"/>
  </bookViews>
  <sheets>
    <sheet name="Total Doi" sheetId="1" r:id="rId1"/>
    <sheet name="Total Maga" sheetId="2" r:id="rId2"/>
    <sheet name="Total TMA" sheetId="3" r:id="rId3"/>
    <sheet name="DOI" sheetId="4" r:id="rId4"/>
    <sheet name="DIM" sheetId="5" r:id="rId5"/>
    <sheet name="TM" sheetId="6" r:id="rId6"/>
  </sheets>
  <definedNames>
    <definedName name="_xlnm._FilterDatabase" localSheetId="4" hidden="1">DIM!$A$2:$R$39</definedName>
    <definedName name="_xlnm._FilterDatabase" localSheetId="3" hidden="1">DOI!$B$2:$R$66</definedName>
    <definedName name="_xlnm._FilterDatabase" localSheetId="5" hidden="1">TM!$A$2:$R$29</definedName>
    <definedName name="_xlnm._FilterDatabase" localSheetId="0" hidden="1">'Total Doi'!$A$1:$H$83</definedName>
    <definedName name="_xlnm._FilterDatabase" localSheetId="1" hidden="1">'Total Maga'!$A$1:$H$198</definedName>
    <definedName name="_xlnm._FilterDatabase" localSheetId="2" hidden="1">'Total TMA'!$A$1:$H$285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4" l="1"/>
  <c r="K51" i="4"/>
  <c r="I29" i="5" l="1"/>
  <c r="I28" i="5"/>
  <c r="I27" i="5"/>
  <c r="I18" i="5"/>
  <c r="I19" i="5"/>
  <c r="I20" i="5"/>
  <c r="I21" i="5"/>
  <c r="I22" i="5"/>
  <c r="I23" i="5"/>
  <c r="I24" i="5"/>
  <c r="I26" i="5"/>
  <c r="I28" i="4"/>
  <c r="I29" i="4"/>
  <c r="I30" i="4"/>
  <c r="I31" i="4"/>
  <c r="I32" i="4"/>
  <c r="I33" i="4"/>
  <c r="I34" i="4"/>
  <c r="I35" i="4"/>
  <c r="I36" i="4"/>
  <c r="I37" i="4"/>
  <c r="I43" i="4"/>
  <c r="I44" i="4"/>
  <c r="I45" i="4"/>
  <c r="I46" i="4"/>
  <c r="I47" i="4"/>
  <c r="M26" i="5"/>
  <c r="M27" i="5"/>
  <c r="M28" i="5"/>
  <c r="M29" i="5"/>
  <c r="K31" i="4"/>
  <c r="K1" i="6"/>
  <c r="R14" i="5" l="1"/>
  <c r="Q14" i="5"/>
  <c r="M14" i="5"/>
  <c r="B14" i="5"/>
  <c r="R43" i="4"/>
  <c r="Q43" i="4"/>
  <c r="M43" i="4"/>
  <c r="B43" i="4"/>
  <c r="M36" i="4"/>
  <c r="B24" i="4"/>
  <c r="M35" i="4"/>
  <c r="B23" i="4"/>
  <c r="M34" i="4"/>
  <c r="B22" i="4"/>
  <c r="M33" i="4"/>
  <c r="B21" i="4"/>
  <c r="M32" i="4"/>
  <c r="B20" i="4"/>
  <c r="M31" i="4"/>
  <c r="B19" i="4"/>
  <c r="B34" i="4"/>
  <c r="M37" i="4"/>
  <c r="B33" i="4"/>
  <c r="R24" i="4" l="1"/>
  <c r="R21" i="4"/>
  <c r="R20" i="4"/>
  <c r="R22" i="4"/>
  <c r="R19" i="4"/>
  <c r="R23" i="4"/>
  <c r="R34" i="4"/>
  <c r="Q34" i="4"/>
  <c r="R33" i="4"/>
  <c r="Q33" i="4"/>
  <c r="Q24" i="4"/>
  <c r="Q22" i="4"/>
  <c r="Q20" i="4"/>
  <c r="Q19" i="4"/>
  <c r="Q21" i="4"/>
  <c r="Q23" i="4"/>
  <c r="G42" i="4" l="1"/>
  <c r="I42" i="4" s="1"/>
  <c r="R42" i="4"/>
  <c r="Q42" i="4"/>
  <c r="M42" i="4"/>
  <c r="B42" i="4"/>
  <c r="K61" i="2" l="1"/>
  <c r="F61" i="2"/>
  <c r="C61" i="2"/>
  <c r="K68" i="2"/>
  <c r="F68" i="2"/>
  <c r="C68" i="2"/>
  <c r="I15" i="5"/>
  <c r="I16" i="5"/>
  <c r="I17" i="5"/>
  <c r="I20" i="4"/>
  <c r="I21" i="4"/>
  <c r="I22" i="4"/>
  <c r="I23" i="4"/>
  <c r="I24" i="4"/>
  <c r="I25" i="4"/>
  <c r="I26" i="4"/>
  <c r="I27" i="4"/>
  <c r="I41" i="4"/>
  <c r="I8" i="5"/>
  <c r="I9" i="5"/>
  <c r="I10" i="5"/>
  <c r="I11" i="5"/>
  <c r="I12" i="5"/>
  <c r="I13" i="5"/>
  <c r="I14" i="5"/>
  <c r="H17" i="6"/>
  <c r="G17" i="6"/>
  <c r="P16" i="6"/>
  <c r="N16" i="6" s="1"/>
  <c r="M16" i="6"/>
  <c r="B16" i="6"/>
  <c r="M15" i="6"/>
  <c r="L15" i="6"/>
  <c r="I17" i="6" l="1"/>
  <c r="O16" i="6"/>
  <c r="N17" i="6" l="1"/>
  <c r="S16" i="6"/>
  <c r="Q16" i="6"/>
  <c r="R16" i="6"/>
  <c r="O17" i="6"/>
  <c r="I19" i="4" l="1"/>
  <c r="S38" i="5"/>
  <c r="P38" i="5"/>
  <c r="M38" i="5"/>
  <c r="B38" i="5"/>
  <c r="P37" i="5"/>
  <c r="M37" i="5"/>
  <c r="B37" i="5"/>
  <c r="R17" i="5"/>
  <c r="Q17" i="5"/>
  <c r="M17" i="5"/>
  <c r="B17" i="5"/>
  <c r="R16" i="5"/>
  <c r="Q16" i="5"/>
  <c r="M16" i="5"/>
  <c r="B16" i="5"/>
  <c r="R15" i="5"/>
  <c r="Q15" i="5"/>
  <c r="M15" i="5"/>
  <c r="B15" i="5"/>
  <c r="R44" i="4"/>
  <c r="Q44" i="4"/>
  <c r="M44" i="4"/>
  <c r="B44" i="4"/>
  <c r="B30" i="4"/>
  <c r="B29" i="4"/>
  <c r="B28" i="4"/>
  <c r="B27" i="4"/>
  <c r="B26" i="4"/>
  <c r="B25" i="4"/>
  <c r="M30" i="4"/>
  <c r="M29" i="4"/>
  <c r="M28" i="4"/>
  <c r="M27" i="4"/>
  <c r="B37" i="4"/>
  <c r="R28" i="4" l="1"/>
  <c r="R37" i="4"/>
  <c r="R29" i="4"/>
  <c r="R30" i="4"/>
  <c r="R26" i="4"/>
  <c r="R25" i="4"/>
  <c r="R27" i="4"/>
  <c r="N37" i="5"/>
  <c r="O37" i="5" s="1"/>
  <c r="N38" i="5"/>
  <c r="O38" i="5" s="1"/>
  <c r="T38" i="5" s="1"/>
  <c r="Q28" i="4"/>
  <c r="Q30" i="4"/>
  <c r="Q25" i="4"/>
  <c r="Q27" i="4"/>
  <c r="Q29" i="4"/>
  <c r="Q26" i="4"/>
  <c r="Q37" i="4"/>
  <c r="M31" i="3" l="1"/>
  <c r="C31" i="3"/>
  <c r="F26" i="1"/>
  <c r="P44" i="4" s="1"/>
  <c r="N44" i="4" s="1"/>
  <c r="O44" i="4" s="1"/>
  <c r="K1" i="5" l="1"/>
  <c r="M22" i="5" l="1"/>
  <c r="M21" i="5"/>
  <c r="M20" i="5"/>
  <c r="M19" i="5"/>
  <c r="R22" i="5"/>
  <c r="Q22" i="5"/>
  <c r="M24" i="5"/>
  <c r="B22" i="5"/>
  <c r="R21" i="5"/>
  <c r="Q21" i="5"/>
  <c r="M23" i="5"/>
  <c r="B21" i="5"/>
  <c r="M52" i="4"/>
  <c r="I52" i="4"/>
  <c r="N52" i="4" s="1"/>
  <c r="O52" i="4" s="1"/>
  <c r="B52" i="4"/>
  <c r="Q46" i="4"/>
  <c r="M46" i="4"/>
  <c r="Q45" i="4"/>
  <c r="M45" i="4"/>
  <c r="M24" i="4"/>
  <c r="M23" i="4"/>
  <c r="M22" i="4"/>
  <c r="M21" i="4"/>
  <c r="M20" i="4"/>
  <c r="M19" i="4"/>
  <c r="C26" i="1" l="1"/>
  <c r="M25" i="4"/>
  <c r="R26" i="5"/>
  <c r="Q26" i="5"/>
  <c r="B26" i="5"/>
  <c r="K69" i="2"/>
  <c r="F69" i="2"/>
  <c r="K67" i="2"/>
  <c r="F67" i="2"/>
  <c r="R24" i="5" l="1"/>
  <c r="Q24" i="5"/>
  <c r="M18" i="5"/>
  <c r="B18" i="5"/>
  <c r="R23" i="5"/>
  <c r="Q23" i="5"/>
  <c r="M56" i="4"/>
  <c r="N56" i="4"/>
  <c r="O56" i="4" s="1"/>
  <c r="B56" i="4"/>
  <c r="R46" i="4"/>
  <c r="R45" i="4"/>
  <c r="B41" i="4"/>
  <c r="C67" i="2" l="1"/>
  <c r="K1" i="4"/>
  <c r="S36" i="5" l="1"/>
  <c r="P36" i="5"/>
  <c r="B36" i="5"/>
  <c r="B35" i="4"/>
  <c r="R17" i="4"/>
  <c r="B17" i="4"/>
  <c r="B32" i="4"/>
  <c r="B31" i="4"/>
  <c r="B46" i="4"/>
  <c r="R47" i="4"/>
  <c r="Q47" i="4"/>
  <c r="M47" i="4"/>
  <c r="B45" i="4"/>
  <c r="R41" i="4"/>
  <c r="Q41" i="4"/>
  <c r="P41" i="4"/>
  <c r="N41" i="4" s="1"/>
  <c r="O41" i="4" s="1"/>
  <c r="M41" i="4"/>
  <c r="R35" i="4" l="1"/>
  <c r="Q35" i="4"/>
  <c r="R32" i="4"/>
  <c r="Q32" i="4"/>
  <c r="K107" i="2"/>
  <c r="K93" i="2"/>
  <c r="S35" i="5"/>
  <c r="S34" i="5"/>
  <c r="S33" i="5"/>
  <c r="S19" i="5" l="1"/>
  <c r="S28" i="5"/>
  <c r="S29" i="5"/>
  <c r="S25" i="5"/>
  <c r="S10" i="5"/>
  <c r="K5" i="2"/>
  <c r="S13" i="5" s="1"/>
  <c r="K6" i="2"/>
  <c r="K10" i="2"/>
  <c r="K11" i="2"/>
  <c r="K12" i="2"/>
  <c r="K13" i="2"/>
  <c r="K14" i="2"/>
  <c r="S26" i="5" s="1"/>
  <c r="K15" i="2"/>
  <c r="K16" i="2"/>
  <c r="K17" i="2"/>
  <c r="K20" i="2"/>
  <c r="K21" i="2"/>
  <c r="K24" i="2"/>
  <c r="K25" i="2"/>
  <c r="S9" i="5" s="1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S12" i="5" s="1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S20" i="5" s="1"/>
  <c r="K59" i="2"/>
  <c r="K60" i="2"/>
  <c r="K62" i="2"/>
  <c r="K63" i="2"/>
  <c r="K64" i="2"/>
  <c r="K65" i="2"/>
  <c r="K66" i="2"/>
  <c r="K70" i="2"/>
  <c r="K71" i="2"/>
  <c r="K72" i="2"/>
  <c r="K73" i="2"/>
  <c r="K74" i="2"/>
  <c r="K75" i="2"/>
  <c r="K76" i="2"/>
  <c r="K77" i="2"/>
  <c r="K78" i="2"/>
  <c r="K79" i="2"/>
  <c r="K80" i="2"/>
  <c r="K81" i="2"/>
  <c r="S8" i="5" s="1"/>
  <c r="K84" i="2"/>
  <c r="K85" i="2"/>
  <c r="K86" i="2"/>
  <c r="K87" i="2"/>
  <c r="S14" i="5" s="1"/>
  <c r="K88" i="2"/>
  <c r="K89" i="2"/>
  <c r="S24" i="5" l="1"/>
  <c r="S27" i="5"/>
  <c r="S23" i="5"/>
  <c r="S17" i="5"/>
  <c r="S16" i="5"/>
  <c r="S15" i="5"/>
  <c r="S22" i="5"/>
  <c r="S21" i="5"/>
  <c r="S18" i="5"/>
  <c r="S11" i="5"/>
  <c r="P28" i="6" l="1"/>
  <c r="M28" i="6"/>
  <c r="B28" i="6"/>
  <c r="N28" i="6" l="1"/>
  <c r="O28" i="6" s="1"/>
  <c r="T28" i="6" l="1"/>
  <c r="C48" i="3"/>
  <c r="C47" i="3"/>
  <c r="C46" i="3"/>
  <c r="C45" i="3"/>
  <c r="C44" i="3"/>
  <c r="F60" i="2" l="1"/>
  <c r="G35" i="5" l="1"/>
  <c r="I35" i="5" s="1"/>
  <c r="N35" i="5" s="1"/>
  <c r="O35" i="5" s="1"/>
  <c r="T35" i="5" s="1"/>
  <c r="M35" i="5"/>
  <c r="B35" i="5"/>
  <c r="I36" i="5"/>
  <c r="B47" i="4"/>
  <c r="R28" i="5" l="1"/>
  <c r="Q28" i="5"/>
  <c r="B23" i="5"/>
  <c r="R27" i="5"/>
  <c r="Q27" i="5"/>
  <c r="B20" i="5"/>
  <c r="R20" i="5"/>
  <c r="Q20" i="5"/>
  <c r="B19" i="5"/>
  <c r="R19" i="5"/>
  <c r="Q19" i="5"/>
  <c r="R18" i="5"/>
  <c r="Q18" i="5"/>
  <c r="P20" i="6" l="1"/>
  <c r="N20" i="6" s="1"/>
  <c r="O20" i="6" s="1"/>
  <c r="M20" i="6"/>
  <c r="B20" i="6"/>
  <c r="B63" i="4"/>
  <c r="B61" i="4"/>
  <c r="G60" i="4" l="1"/>
  <c r="I60" i="4" s="1"/>
  <c r="M60" i="4"/>
  <c r="B60" i="4"/>
  <c r="I18" i="4" l="1"/>
  <c r="F57" i="2" l="1"/>
  <c r="C57" i="2"/>
  <c r="F11" i="1"/>
  <c r="C11" i="1"/>
  <c r="I33" i="5" l="1"/>
  <c r="Q8" i="5" l="1"/>
  <c r="R8" i="5"/>
  <c r="Q9" i="5"/>
  <c r="R9" i="5"/>
  <c r="Q10" i="5"/>
  <c r="R10" i="5"/>
  <c r="Q11" i="5"/>
  <c r="R11" i="5"/>
  <c r="Q12" i="5"/>
  <c r="R12" i="5"/>
  <c r="Q13" i="5"/>
  <c r="R13" i="5"/>
  <c r="Q29" i="5"/>
  <c r="R29" i="5"/>
  <c r="Q25" i="5"/>
  <c r="R25" i="5"/>
  <c r="M18" i="4"/>
  <c r="I11" i="4" l="1"/>
  <c r="I12" i="4"/>
  <c r="I13" i="4"/>
  <c r="K4" i="6"/>
  <c r="H21" i="6" l="1"/>
  <c r="I8" i="6" l="1"/>
  <c r="G21" i="6"/>
  <c r="B34" i="5" l="1"/>
  <c r="M26" i="4" l="1"/>
  <c r="M13" i="3" l="1"/>
  <c r="C13" i="3"/>
  <c r="I61" i="4" l="1"/>
  <c r="I62" i="4"/>
  <c r="I63" i="4"/>
  <c r="I64" i="4"/>
  <c r="R66" i="4"/>
  <c r="Q66" i="4"/>
  <c r="H66" i="4"/>
  <c r="F59" i="2" l="1"/>
  <c r="C59" i="2" s="1"/>
  <c r="F67" i="1" l="1"/>
  <c r="B29" i="5" l="1"/>
  <c r="B28" i="5"/>
  <c r="B27" i="5"/>
  <c r="B24" i="5"/>
  <c r="F60" i="1" l="1"/>
  <c r="C60" i="1"/>
  <c r="P8" i="6" l="1"/>
  <c r="B64" i="4" l="1"/>
  <c r="G34" i="5" l="1"/>
  <c r="I34" i="5" s="1"/>
  <c r="H57" i="4" l="1"/>
  <c r="G57" i="4"/>
  <c r="M55" i="4"/>
  <c r="L55" i="4"/>
  <c r="R54" i="4"/>
  <c r="I57" i="4" l="1"/>
  <c r="N57" i="4" l="1"/>
  <c r="O57" i="4" l="1"/>
  <c r="F53" i="2" l="1"/>
  <c r="F54" i="2"/>
  <c r="F55" i="2"/>
  <c r="F56" i="2"/>
  <c r="F58" i="2"/>
  <c r="F62" i="2"/>
  <c r="P24" i="5" s="1"/>
  <c r="P21" i="5" l="1"/>
  <c r="N21" i="5" s="1"/>
  <c r="O21" i="5" s="1"/>
  <c r="T21" i="5" s="1"/>
  <c r="G65" i="4" l="1"/>
  <c r="G66" i="4" s="1"/>
  <c r="N63" i="4"/>
  <c r="O63" i="4" s="1"/>
  <c r="M63" i="4"/>
  <c r="M65" i="4"/>
  <c r="M64" i="4"/>
  <c r="B51" i="4"/>
  <c r="I65" i="4" l="1"/>
  <c r="N65" i="4" s="1"/>
  <c r="O65" i="4" s="1"/>
  <c r="C56" i="2" l="1"/>
  <c r="C55" i="2"/>
  <c r="I51" i="4" l="1"/>
  <c r="H25" i="6" l="1"/>
  <c r="B18" i="4" l="1"/>
  <c r="R18" i="4" l="1"/>
  <c r="G17" i="4" l="1"/>
  <c r="M17" i="4"/>
  <c r="I17" i="4" l="1"/>
  <c r="Q17" i="4"/>
  <c r="Q18" i="4"/>
  <c r="M25" i="5" l="1"/>
  <c r="M62" i="4"/>
  <c r="N62" i="4"/>
  <c r="O62" i="4" s="1"/>
  <c r="B65" i="4"/>
  <c r="M51" i="4"/>
  <c r="N51" i="4"/>
  <c r="O51" i="4" s="1"/>
  <c r="R31" i="4" l="1"/>
  <c r="Q31" i="4"/>
  <c r="M23" i="6" l="1"/>
  <c r="L23" i="6"/>
  <c r="M19" i="6"/>
  <c r="L19" i="6"/>
  <c r="M11" i="6"/>
  <c r="L11" i="6"/>
  <c r="M7" i="6"/>
  <c r="L7" i="6"/>
  <c r="M7" i="5"/>
  <c r="L7" i="5"/>
  <c r="L32" i="5"/>
  <c r="H52" i="5" l="1"/>
  <c r="G52" i="5"/>
  <c r="G1" i="5" s="1"/>
  <c r="H1" i="5" l="1"/>
  <c r="N34" i="5"/>
  <c r="O34" i="5" s="1"/>
  <c r="T34" i="5" s="1"/>
  <c r="M34" i="5"/>
  <c r="G99" i="2" l="1"/>
  <c r="K99" i="2" s="1"/>
  <c r="S37" i="5" s="1"/>
  <c r="T37" i="5" s="1"/>
  <c r="R48" i="4" l="1"/>
  <c r="R49" i="4" s="1"/>
  <c r="R30" i="5" l="1"/>
  <c r="Q30" i="5"/>
  <c r="B29" i="6"/>
  <c r="P29" i="6"/>
  <c r="M29" i="6"/>
  <c r="I29" i="6"/>
  <c r="M8" i="6"/>
  <c r="B8" i="6"/>
  <c r="N8" i="6" l="1"/>
  <c r="O8" i="6" s="1"/>
  <c r="N29" i="6"/>
  <c r="O29" i="6" s="1"/>
  <c r="M30" i="3"/>
  <c r="M32" i="3" l="1"/>
  <c r="M29" i="3"/>
  <c r="Q48" i="4" l="1"/>
  <c r="G25" i="6"/>
  <c r="B25" i="5" l="1"/>
  <c r="C122" i="2"/>
  <c r="F52" i="2" l="1"/>
  <c r="F51" i="2"/>
  <c r="F73" i="1" l="1"/>
  <c r="F89" i="2" l="1"/>
  <c r="P29" i="5" s="1"/>
  <c r="N29" i="5" s="1"/>
  <c r="O29" i="5" s="1"/>
  <c r="T29" i="5" s="1"/>
  <c r="F50" i="2" l="1"/>
  <c r="B36" i="4"/>
  <c r="R36" i="4" l="1"/>
  <c r="Q36" i="4"/>
  <c r="B62" i="4" l="1"/>
  <c r="B13" i="4"/>
  <c r="B12" i="4"/>
  <c r="B11" i="4"/>
  <c r="C73" i="1" l="1"/>
  <c r="Q38" i="4" l="1"/>
  <c r="R38" i="4"/>
  <c r="R39" i="4" s="1"/>
  <c r="R69" i="4" s="1"/>
  <c r="Q69" i="4" l="1"/>
  <c r="M36" i="5" l="1"/>
  <c r="C124" i="2" l="1"/>
  <c r="C123" i="2"/>
  <c r="C119" i="2"/>
  <c r="C118" i="2"/>
  <c r="C107" i="2"/>
  <c r="C100" i="2"/>
  <c r="C98" i="2"/>
  <c r="C94" i="2"/>
  <c r="C93" i="2"/>
  <c r="C88" i="2"/>
  <c r="C85" i="2"/>
  <c r="C84" i="2"/>
  <c r="C80" i="2"/>
  <c r="C79" i="2"/>
  <c r="C78" i="2"/>
  <c r="C77" i="2"/>
  <c r="C76" i="2"/>
  <c r="C75" i="2"/>
  <c r="C74" i="2"/>
  <c r="C72" i="2"/>
  <c r="C64" i="2"/>
  <c r="C63" i="2"/>
  <c r="C49" i="2"/>
  <c r="C48" i="2"/>
  <c r="C47" i="2"/>
  <c r="C46" i="2"/>
  <c r="C44" i="2"/>
  <c r="C42" i="2"/>
  <c r="C41" i="2"/>
  <c r="C39" i="2"/>
  <c r="C38" i="2"/>
  <c r="C35" i="2"/>
  <c r="C34" i="2"/>
  <c r="C33" i="2"/>
  <c r="C32" i="2"/>
  <c r="C31" i="2"/>
  <c r="C30" i="2"/>
  <c r="C29" i="2"/>
  <c r="C28" i="2"/>
  <c r="C27" i="2"/>
  <c r="C21" i="2"/>
  <c r="C20" i="2"/>
  <c r="C17" i="2"/>
  <c r="C16" i="2"/>
  <c r="C15" i="2"/>
  <c r="C13" i="2"/>
  <c r="C12" i="2"/>
  <c r="C11" i="2"/>
  <c r="C10" i="2"/>
  <c r="C9" i="2"/>
  <c r="C33" i="3" l="1"/>
  <c r="C32" i="3"/>
  <c r="C28" i="3"/>
  <c r="C25" i="3"/>
  <c r="C23" i="3"/>
  <c r="C22" i="3"/>
  <c r="C21" i="3"/>
  <c r="C20" i="3"/>
  <c r="C19" i="3"/>
  <c r="C18" i="3"/>
  <c r="C12" i="3"/>
  <c r="C11" i="3"/>
  <c r="C10" i="3"/>
  <c r="C9" i="3"/>
  <c r="C7" i="3"/>
  <c r="C8" i="3"/>
  <c r="B12" i="6" l="1"/>
  <c r="P12" i="6"/>
  <c r="C5" i="6"/>
  <c r="B24" i="6"/>
  <c r="P24" i="6"/>
  <c r="H30" i="6"/>
  <c r="M27" i="6"/>
  <c r="L27" i="6"/>
  <c r="H13" i="6"/>
  <c r="G13" i="6"/>
  <c r="M12" i="6"/>
  <c r="I12" i="6"/>
  <c r="H9" i="6"/>
  <c r="G9" i="6"/>
  <c r="M24" i="6"/>
  <c r="I24" i="6"/>
  <c r="M2" i="6"/>
  <c r="B33" i="5"/>
  <c r="B39" i="5"/>
  <c r="C101" i="2"/>
  <c r="N36" i="5"/>
  <c r="I39" i="5"/>
  <c r="B8" i="5"/>
  <c r="B9" i="5"/>
  <c r="B10" i="5"/>
  <c r="B11" i="5"/>
  <c r="B12" i="5"/>
  <c r="B13" i="5"/>
  <c r="M13" i="5"/>
  <c r="M12" i="5"/>
  <c r="M10" i="5"/>
  <c r="M11" i="5"/>
  <c r="M9" i="5"/>
  <c r="G30" i="5"/>
  <c r="H30" i="5"/>
  <c r="M8" i="5"/>
  <c r="H40" i="5"/>
  <c r="G40" i="5"/>
  <c r="M33" i="5"/>
  <c r="M32" i="5"/>
  <c r="C5" i="5"/>
  <c r="M2" i="5"/>
  <c r="G31" i="3" l="1"/>
  <c r="E31" i="3"/>
  <c r="F31" i="3"/>
  <c r="O36" i="5"/>
  <c r="T36" i="5" s="1"/>
  <c r="E46" i="3"/>
  <c r="F46" i="3"/>
  <c r="E42" i="3"/>
  <c r="E47" i="3"/>
  <c r="F44" i="3"/>
  <c r="E44" i="3"/>
  <c r="E45" i="3"/>
  <c r="G47" i="3"/>
  <c r="F47" i="3"/>
  <c r="G48" i="3"/>
  <c r="G46" i="3"/>
  <c r="F42" i="3"/>
  <c r="E48" i="3"/>
  <c r="F48" i="3"/>
  <c r="G44" i="3"/>
  <c r="G42" i="3"/>
  <c r="G45" i="3"/>
  <c r="F45" i="3"/>
  <c r="H41" i="6"/>
  <c r="H1" i="6" s="1"/>
  <c r="G41" i="6"/>
  <c r="G1" i="6" s="1"/>
  <c r="I21" i="6"/>
  <c r="O21" i="6"/>
  <c r="N21" i="6"/>
  <c r="G13" i="3"/>
  <c r="F13" i="3"/>
  <c r="E13" i="3"/>
  <c r="I25" i="6"/>
  <c r="E33" i="3"/>
  <c r="G32" i="3"/>
  <c r="F28" i="3"/>
  <c r="G25" i="3"/>
  <c r="E23" i="3"/>
  <c r="F20" i="3"/>
  <c r="F14" i="3"/>
  <c r="G10" i="3"/>
  <c r="E7" i="3"/>
  <c r="F22" i="3"/>
  <c r="E10" i="3"/>
  <c r="F19" i="3"/>
  <c r="F12" i="3"/>
  <c r="E8" i="3"/>
  <c r="F32" i="3"/>
  <c r="E28" i="3"/>
  <c r="F25" i="3"/>
  <c r="E20" i="3"/>
  <c r="F17" i="3"/>
  <c r="E14" i="3"/>
  <c r="F10" i="3"/>
  <c r="G8" i="3"/>
  <c r="E25" i="3"/>
  <c r="G19" i="3"/>
  <c r="G12" i="3"/>
  <c r="F8" i="3"/>
  <c r="F27" i="3"/>
  <c r="E22" i="3"/>
  <c r="G9" i="3"/>
  <c r="E32" i="3"/>
  <c r="G30" i="3"/>
  <c r="F30" i="3"/>
  <c r="F24" i="3"/>
  <c r="E19" i="3"/>
  <c r="F16" i="3"/>
  <c r="E12" i="3"/>
  <c r="F9" i="3"/>
  <c r="E30" i="3"/>
  <c r="F21" i="3"/>
  <c r="G18" i="3"/>
  <c r="G11" i="3"/>
  <c r="E9" i="3"/>
  <c r="G33" i="3"/>
  <c r="F33" i="3"/>
  <c r="F29" i="3"/>
  <c r="F26" i="3"/>
  <c r="G23" i="3"/>
  <c r="F18" i="3"/>
  <c r="F15" i="3"/>
  <c r="F11" i="3"/>
  <c r="G7" i="3"/>
  <c r="G28" i="3"/>
  <c r="F23" i="3"/>
  <c r="G20" i="3"/>
  <c r="E18" i="3"/>
  <c r="G14" i="3"/>
  <c r="E11" i="3"/>
  <c r="F7" i="3"/>
  <c r="G30" i="6"/>
  <c r="G32" i="6" s="1"/>
  <c r="C26" i="3"/>
  <c r="G22" i="3"/>
  <c r="N12" i="6"/>
  <c r="O12" i="6" s="1"/>
  <c r="C27" i="3"/>
  <c r="H32" i="6"/>
  <c r="I9" i="6"/>
  <c r="I13" i="6"/>
  <c r="N24" i="6"/>
  <c r="I30" i="6"/>
  <c r="N33" i="5"/>
  <c r="O33" i="5" s="1"/>
  <c r="C102" i="2"/>
  <c r="C103" i="2"/>
  <c r="G42" i="5"/>
  <c r="G48" i="5" s="1"/>
  <c r="I30" i="5"/>
  <c r="I48" i="5" s="1"/>
  <c r="I40" i="5"/>
  <c r="H42" i="5"/>
  <c r="H48" i="5" s="1"/>
  <c r="C99" i="2" l="1"/>
  <c r="E17" i="3"/>
  <c r="G17" i="3"/>
  <c r="C121" i="2"/>
  <c r="T33" i="5"/>
  <c r="C14" i="3"/>
  <c r="N25" i="6"/>
  <c r="C24" i="3"/>
  <c r="C17" i="3"/>
  <c r="C30" i="3"/>
  <c r="E21" i="3"/>
  <c r="G21" i="3"/>
  <c r="G16" i="3"/>
  <c r="E16" i="3"/>
  <c r="G26" i="3"/>
  <c r="E26" i="3"/>
  <c r="C29" i="3"/>
  <c r="G35" i="6"/>
  <c r="G37" i="6" s="1"/>
  <c r="G39" i="6" s="1"/>
  <c r="H35" i="6"/>
  <c r="H37" i="6" s="1"/>
  <c r="H39" i="6" s="1"/>
  <c r="R12" i="6"/>
  <c r="Q12" i="6"/>
  <c r="G27" i="3"/>
  <c r="E27" i="3"/>
  <c r="E24" i="3"/>
  <c r="G24" i="3"/>
  <c r="C15" i="3"/>
  <c r="I32" i="6"/>
  <c r="N13" i="6"/>
  <c r="O24" i="6"/>
  <c r="N9" i="6"/>
  <c r="O13" i="6"/>
  <c r="I42" i="5"/>
  <c r="N40" i="5"/>
  <c r="O25" i="6" l="1"/>
  <c r="C120" i="2"/>
  <c r="E15" i="3"/>
  <c r="O40" i="5"/>
  <c r="C16" i="3"/>
  <c r="G15" i="3"/>
  <c r="E29" i="3"/>
  <c r="G29" i="3"/>
  <c r="I35" i="6"/>
  <c r="I37" i="6" s="1"/>
  <c r="I39" i="6" s="1"/>
  <c r="S24" i="6"/>
  <c r="R24" i="6"/>
  <c r="Q24" i="6"/>
  <c r="O9" i="6"/>
  <c r="T24" i="6" l="1"/>
  <c r="P61" i="4" l="1"/>
  <c r="M61" i="4"/>
  <c r="G67" i="4"/>
  <c r="H67" i="4"/>
  <c r="M59" i="4"/>
  <c r="L59" i="4"/>
  <c r="H53" i="4"/>
  <c r="G53" i="4"/>
  <c r="M50" i="4"/>
  <c r="L50" i="4"/>
  <c r="H48" i="4"/>
  <c r="G48" i="4"/>
  <c r="M40" i="4"/>
  <c r="L40" i="4"/>
  <c r="G38" i="4"/>
  <c r="H38" i="4"/>
  <c r="M16" i="4"/>
  <c r="L16" i="4"/>
  <c r="M13" i="4"/>
  <c r="M12" i="4"/>
  <c r="M11" i="4"/>
  <c r="H14" i="4"/>
  <c r="G14" i="4"/>
  <c r="M10" i="4"/>
  <c r="L10" i="4"/>
  <c r="H8" i="4"/>
  <c r="G8" i="4"/>
  <c r="M7" i="4"/>
  <c r="L7" i="4"/>
  <c r="R2" i="4"/>
  <c r="Q2" i="4"/>
  <c r="M2" i="4"/>
  <c r="M28" i="3"/>
  <c r="M27" i="3"/>
  <c r="M26" i="3"/>
  <c r="M25" i="3"/>
  <c r="M24" i="3"/>
  <c r="M23" i="3"/>
  <c r="M22" i="3"/>
  <c r="M21" i="3"/>
  <c r="M20" i="3"/>
  <c r="M19" i="3"/>
  <c r="M18" i="3"/>
  <c r="M17" i="3"/>
  <c r="S12" i="6" s="1"/>
  <c r="M16" i="3"/>
  <c r="M15" i="3"/>
  <c r="M14" i="3"/>
  <c r="M12" i="3"/>
  <c r="M11" i="3"/>
  <c r="M10" i="3"/>
  <c r="M9" i="3"/>
  <c r="M8" i="3"/>
  <c r="M7" i="3"/>
  <c r="C109" i="2"/>
  <c r="F88" i="2"/>
  <c r="F87" i="2"/>
  <c r="F86" i="2"/>
  <c r="P25" i="5" s="1"/>
  <c r="N25" i="5" s="1"/>
  <c r="F85" i="2"/>
  <c r="F84" i="2"/>
  <c r="F81" i="2"/>
  <c r="P8" i="5" s="1"/>
  <c r="N8" i="5" s="1"/>
  <c r="O8" i="5" s="1"/>
  <c r="T8" i="5" s="1"/>
  <c r="F80" i="2"/>
  <c r="F79" i="2"/>
  <c r="F78" i="2"/>
  <c r="F77" i="2"/>
  <c r="F76" i="2"/>
  <c r="F75" i="2"/>
  <c r="F74" i="2"/>
  <c r="F73" i="2"/>
  <c r="F72" i="2"/>
  <c r="F71" i="2"/>
  <c r="F70" i="2"/>
  <c r="F66" i="2"/>
  <c r="F65" i="2"/>
  <c r="F64" i="2"/>
  <c r="F63" i="2"/>
  <c r="F49" i="2"/>
  <c r="F48" i="2"/>
  <c r="F47" i="2"/>
  <c r="F46" i="2"/>
  <c r="F45" i="2"/>
  <c r="F44" i="2"/>
  <c r="F43" i="2"/>
  <c r="F42" i="2"/>
  <c r="F41" i="2"/>
  <c r="F40" i="2"/>
  <c r="P12" i="5" s="1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P9" i="5" s="1"/>
  <c r="N9" i="5" s="1"/>
  <c r="O9" i="5" s="1"/>
  <c r="T9" i="5" s="1"/>
  <c r="F24" i="2"/>
  <c r="F21" i="2"/>
  <c r="F20" i="2"/>
  <c r="F17" i="2"/>
  <c r="F16" i="2"/>
  <c r="F15" i="2"/>
  <c r="F14" i="2"/>
  <c r="P26" i="5" s="1"/>
  <c r="N26" i="5" s="1"/>
  <c r="O26" i="5" s="1"/>
  <c r="T26" i="5" s="1"/>
  <c r="F13" i="2"/>
  <c r="F12" i="2"/>
  <c r="F11" i="2"/>
  <c r="F10" i="2"/>
  <c r="F6" i="2"/>
  <c r="F5" i="2"/>
  <c r="P60" i="4"/>
  <c r="N60" i="4" s="1"/>
  <c r="O60" i="4" s="1"/>
  <c r="F76" i="1"/>
  <c r="F75" i="1"/>
  <c r="C75" i="1"/>
  <c r="F74" i="1"/>
  <c r="P36" i="4" s="1"/>
  <c r="F72" i="1"/>
  <c r="C72" i="1"/>
  <c r="F71" i="1"/>
  <c r="F70" i="1"/>
  <c r="C70" i="1"/>
  <c r="F69" i="1"/>
  <c r="C69" i="1"/>
  <c r="F68" i="1"/>
  <c r="P27" i="4" s="1"/>
  <c r="F66" i="1"/>
  <c r="F65" i="1"/>
  <c r="F64" i="1"/>
  <c r="F63" i="1"/>
  <c r="F62" i="1"/>
  <c r="F61" i="1"/>
  <c r="F59" i="1"/>
  <c r="C59" i="1"/>
  <c r="F58" i="1"/>
  <c r="C58" i="1"/>
  <c r="F57" i="1"/>
  <c r="C57" i="1"/>
  <c r="F56" i="1"/>
  <c r="C56" i="1"/>
  <c r="F55" i="1"/>
  <c r="F54" i="1"/>
  <c r="F53" i="1"/>
  <c r="P34" i="4" s="1"/>
  <c r="N34" i="4" s="1"/>
  <c r="O34" i="4" s="1"/>
  <c r="F52" i="1"/>
  <c r="P33" i="4" s="1"/>
  <c r="N33" i="4" s="1"/>
  <c r="O33" i="4" s="1"/>
  <c r="C52" i="1" s="1"/>
  <c r="F51" i="1"/>
  <c r="F50" i="1"/>
  <c r="C50" i="1"/>
  <c r="F49" i="1"/>
  <c r="C49" i="1"/>
  <c r="F48" i="1"/>
  <c r="C48" i="1"/>
  <c r="F47" i="1"/>
  <c r="C47" i="1"/>
  <c r="F46" i="1"/>
  <c r="C46" i="1"/>
  <c r="F45" i="1"/>
  <c r="C45" i="1"/>
  <c r="F44" i="1"/>
  <c r="F43" i="1"/>
  <c r="F42" i="1"/>
  <c r="F41" i="1"/>
  <c r="C41" i="1"/>
  <c r="F40" i="1"/>
  <c r="C40" i="1"/>
  <c r="F39" i="1"/>
  <c r="C39" i="1"/>
  <c r="F38" i="1"/>
  <c r="C38" i="1"/>
  <c r="F37" i="1"/>
  <c r="F36" i="1"/>
  <c r="C36" i="1"/>
  <c r="F35" i="1"/>
  <c r="C35" i="1"/>
  <c r="F34" i="1"/>
  <c r="F33" i="1"/>
  <c r="C33" i="1"/>
  <c r="F32" i="1"/>
  <c r="C32" i="1"/>
  <c r="P12" i="4"/>
  <c r="P13" i="4"/>
  <c r="P11" i="4"/>
  <c r="F27" i="1"/>
  <c r="P42" i="4" s="1"/>
  <c r="N42" i="4" s="1"/>
  <c r="O42" i="4" s="1"/>
  <c r="F25" i="1"/>
  <c r="F24" i="1"/>
  <c r="F23" i="1"/>
  <c r="F22" i="1"/>
  <c r="F21" i="1"/>
  <c r="C21" i="1"/>
  <c r="F20" i="1"/>
  <c r="F19" i="1"/>
  <c r="C19" i="1"/>
  <c r="F18" i="1"/>
  <c r="C18" i="1"/>
  <c r="F17" i="1"/>
  <c r="C17" i="1"/>
  <c r="F16" i="1"/>
  <c r="C16" i="1"/>
  <c r="F15" i="1"/>
  <c r="F14" i="1"/>
  <c r="C14" i="1"/>
  <c r="F13" i="1"/>
  <c r="F12" i="1"/>
  <c r="F10" i="1"/>
  <c r="F9" i="1"/>
  <c r="C9" i="1"/>
  <c r="F8" i="1"/>
  <c r="F7" i="1"/>
  <c r="C12" i="1" s="1"/>
  <c r="F6" i="1"/>
  <c r="F5" i="1"/>
  <c r="C5" i="1"/>
  <c r="P14" i="5" l="1"/>
  <c r="N14" i="5" s="1"/>
  <c r="O14" i="5" s="1"/>
  <c r="T14" i="5" s="1"/>
  <c r="P27" i="5"/>
  <c r="N27" i="5" s="1"/>
  <c r="O27" i="5" s="1"/>
  <c r="T27" i="5" s="1"/>
  <c r="P28" i="5"/>
  <c r="N28" i="5" s="1"/>
  <c r="O28" i="5" s="1"/>
  <c r="T28" i="5" s="1"/>
  <c r="P22" i="5"/>
  <c r="N22" i="5" s="1"/>
  <c r="O22" i="5" s="1"/>
  <c r="T22" i="5" s="1"/>
  <c r="P24" i="4"/>
  <c r="N24" i="4" s="1"/>
  <c r="O24" i="4" s="1"/>
  <c r="P25" i="4"/>
  <c r="P26" i="4"/>
  <c r="P43" i="4"/>
  <c r="N43" i="4" s="1"/>
  <c r="O43" i="4" s="1"/>
  <c r="P45" i="4"/>
  <c r="N45" i="4" s="1"/>
  <c r="O45" i="4" s="1"/>
  <c r="P47" i="4"/>
  <c r="N47" i="4" s="1"/>
  <c r="O47" i="4" s="1"/>
  <c r="P23" i="4"/>
  <c r="N23" i="4" s="1"/>
  <c r="O23" i="4" s="1"/>
  <c r="P22" i="4"/>
  <c r="N22" i="4" s="1"/>
  <c r="O22" i="4" s="1"/>
  <c r="P19" i="4"/>
  <c r="N19" i="4" s="1"/>
  <c r="O19" i="4" s="1"/>
  <c r="P21" i="4"/>
  <c r="N21" i="4" s="1"/>
  <c r="O21" i="4" s="1"/>
  <c r="P20" i="4"/>
  <c r="N20" i="4" s="1"/>
  <c r="O20" i="4" s="1"/>
  <c r="P29" i="4"/>
  <c r="P30" i="4"/>
  <c r="P37" i="4"/>
  <c r="N37" i="4" s="1"/>
  <c r="P28" i="4"/>
  <c r="P20" i="5"/>
  <c r="N20" i="5" s="1"/>
  <c r="O20" i="5" s="1"/>
  <c r="P15" i="5"/>
  <c r="N15" i="5" s="1"/>
  <c r="O15" i="5" s="1"/>
  <c r="P17" i="5"/>
  <c r="N17" i="5" s="1"/>
  <c r="O17" i="5" s="1"/>
  <c r="T17" i="5" s="1"/>
  <c r="P16" i="5"/>
  <c r="N16" i="5" s="1"/>
  <c r="O16" i="5" s="1"/>
  <c r="T16" i="5" s="1"/>
  <c r="P23" i="5"/>
  <c r="N23" i="5" s="1"/>
  <c r="O23" i="5" s="1"/>
  <c r="N36" i="4"/>
  <c r="P46" i="4"/>
  <c r="N46" i="4" s="1"/>
  <c r="O46" i="4" s="1"/>
  <c r="P35" i="4"/>
  <c r="P31" i="4"/>
  <c r="P32" i="4"/>
  <c r="P17" i="4"/>
  <c r="P19" i="5"/>
  <c r="P18" i="5"/>
  <c r="N24" i="5" s="1"/>
  <c r="O24" i="5" s="1"/>
  <c r="G78" i="4"/>
  <c r="H78" i="4"/>
  <c r="H1" i="4" s="1"/>
  <c r="C14" i="2"/>
  <c r="C24" i="1"/>
  <c r="I66" i="4"/>
  <c r="I67" i="4" s="1"/>
  <c r="C55" i="1"/>
  <c r="P18" i="4"/>
  <c r="P64" i="4"/>
  <c r="N64" i="4" s="1"/>
  <c r="O64" i="4" s="1"/>
  <c r="N12" i="5"/>
  <c r="O12" i="5" s="1"/>
  <c r="C25" i="2"/>
  <c r="C81" i="2"/>
  <c r="O25" i="5"/>
  <c r="T25" i="5" s="1"/>
  <c r="C5" i="4"/>
  <c r="P13" i="5"/>
  <c r="G69" i="4"/>
  <c r="H69" i="4"/>
  <c r="C73" i="2"/>
  <c r="C24" i="2"/>
  <c r="P10" i="5"/>
  <c r="P11" i="5"/>
  <c r="C95" i="2"/>
  <c r="C23" i="1"/>
  <c r="C8" i="1"/>
  <c r="N61" i="4"/>
  <c r="O61" i="4" s="1"/>
  <c r="C13" i="1"/>
  <c r="C15" i="1"/>
  <c r="I53" i="4"/>
  <c r="N11" i="4"/>
  <c r="O11" i="4" s="1"/>
  <c r="I48" i="4"/>
  <c r="C7" i="1"/>
  <c r="C71" i="1"/>
  <c r="I8" i="4"/>
  <c r="N12" i="4"/>
  <c r="O12" i="4" s="1"/>
  <c r="I38" i="4"/>
  <c r="C34" i="1"/>
  <c r="N13" i="4"/>
  <c r="O13" i="4" s="1"/>
  <c r="I14" i="4"/>
  <c r="C104" i="2"/>
  <c r="E34" i="3"/>
  <c r="F34" i="3"/>
  <c r="G34" i="3"/>
  <c r="C34" i="3"/>
  <c r="C37" i="3" s="1"/>
  <c r="C50" i="3"/>
  <c r="O37" i="4" l="1"/>
  <c r="T15" i="5"/>
  <c r="C58" i="2"/>
  <c r="C60" i="2"/>
  <c r="C62" i="2"/>
  <c r="N31" i="4"/>
  <c r="N26" i="4"/>
  <c r="N29" i="4"/>
  <c r="N30" i="4"/>
  <c r="N28" i="4"/>
  <c r="N32" i="4"/>
  <c r="N27" i="4"/>
  <c r="N35" i="4"/>
  <c r="N25" i="4"/>
  <c r="O36" i="4"/>
  <c r="T24" i="5"/>
  <c r="G1" i="4"/>
  <c r="N17" i="4"/>
  <c r="O17" i="4" s="1"/>
  <c r="N18" i="5"/>
  <c r="N19" i="5"/>
  <c r="O19" i="5" s="1"/>
  <c r="C69" i="2" s="1"/>
  <c r="C40" i="2"/>
  <c r="T12" i="5"/>
  <c r="N8" i="4"/>
  <c r="N18" i="4"/>
  <c r="O18" i="4" s="1"/>
  <c r="C42" i="3"/>
  <c r="C52" i="3" s="1"/>
  <c r="N30" i="6"/>
  <c r="N32" i="6" s="1"/>
  <c r="N35" i="6" s="1"/>
  <c r="N66" i="4"/>
  <c r="N67" i="4" s="1"/>
  <c r="C26" i="2"/>
  <c r="C61" i="1"/>
  <c r="C27" i="1"/>
  <c r="C53" i="2"/>
  <c r="C54" i="2"/>
  <c r="N11" i="5"/>
  <c r="O11" i="5" s="1"/>
  <c r="T11" i="5" s="1"/>
  <c r="N10" i="5"/>
  <c r="O10" i="5" s="1"/>
  <c r="T10" i="5" s="1"/>
  <c r="C52" i="2"/>
  <c r="N13" i="5"/>
  <c r="O13" i="5" s="1"/>
  <c r="C6" i="2"/>
  <c r="C6" i="1"/>
  <c r="C36" i="2"/>
  <c r="C70" i="2"/>
  <c r="C65" i="2"/>
  <c r="C80" i="1"/>
  <c r="G73" i="4"/>
  <c r="G45" i="5"/>
  <c r="G50" i="5" s="1"/>
  <c r="H73" i="4"/>
  <c r="H75" i="4" s="1"/>
  <c r="H45" i="5"/>
  <c r="C20" i="1"/>
  <c r="C64" i="1"/>
  <c r="C25" i="1"/>
  <c r="I69" i="4"/>
  <c r="O53" i="4"/>
  <c r="N53" i="4"/>
  <c r="N48" i="4"/>
  <c r="S48" i="4" s="1"/>
  <c r="O14" i="4"/>
  <c r="N14" i="4"/>
  <c r="C126" i="2"/>
  <c r="T23" i="5" l="1"/>
  <c r="O27" i="4"/>
  <c r="O28" i="4"/>
  <c r="O29" i="4"/>
  <c r="O25" i="4"/>
  <c r="O30" i="4"/>
  <c r="O31" i="4"/>
  <c r="O35" i="4"/>
  <c r="O26" i="4"/>
  <c r="O32" i="4"/>
  <c r="T19" i="5"/>
  <c r="C43" i="2"/>
  <c r="O18" i="5"/>
  <c r="C5" i="2"/>
  <c r="T13" i="5"/>
  <c r="C42" i="1"/>
  <c r="C10" i="1"/>
  <c r="O30" i="6"/>
  <c r="O32" i="6" s="1"/>
  <c r="C45" i="2"/>
  <c r="C53" i="1"/>
  <c r="O66" i="4"/>
  <c r="C62" i="1"/>
  <c r="C44" i="1"/>
  <c r="N38" i="4"/>
  <c r="C51" i="2"/>
  <c r="G75" i="4"/>
  <c r="N30" i="5"/>
  <c r="C37" i="2"/>
  <c r="C66" i="2"/>
  <c r="C71" i="2"/>
  <c r="H50" i="5"/>
  <c r="I73" i="4"/>
  <c r="I75" i="4" s="1"/>
  <c r="I45" i="5"/>
  <c r="I50" i="5" s="1"/>
  <c r="O48" i="4"/>
  <c r="O8" i="4"/>
  <c r="C51" i="1" l="1"/>
  <c r="C89" i="2"/>
  <c r="C86" i="2"/>
  <c r="C54" i="1"/>
  <c r="C68" i="1"/>
  <c r="C43" i="1"/>
  <c r="T18" i="5"/>
  <c r="T20" i="5"/>
  <c r="C87" i="2"/>
  <c r="O67" i="4"/>
  <c r="O35" i="6"/>
  <c r="C22" i="1"/>
  <c r="C63" i="1"/>
  <c r="N42" i="5"/>
  <c r="N43" i="5" s="1"/>
  <c r="S31" i="5"/>
  <c r="N69" i="4"/>
  <c r="N70" i="4" s="1"/>
  <c r="S38" i="4"/>
  <c r="C74" i="1"/>
  <c r="C67" i="1"/>
  <c r="C66" i="1"/>
  <c r="C76" i="1"/>
  <c r="C65" i="1"/>
  <c r="O38" i="4"/>
  <c r="C37" i="1"/>
  <c r="C50" i="2"/>
  <c r="C7" i="2"/>
  <c r="C18" i="2" s="1"/>
  <c r="C22" i="2" s="1"/>
  <c r="O30" i="5"/>
  <c r="O69" i="4" l="1"/>
  <c r="N46" i="5"/>
  <c r="N45" i="5"/>
  <c r="C77" i="1"/>
  <c r="C82" i="2"/>
  <c r="C111" i="2" s="1"/>
  <c r="C133" i="2" s="1"/>
  <c r="O42" i="5"/>
  <c r="C28" i="1"/>
  <c r="C128" i="2" l="1"/>
  <c r="O45" i="5"/>
  <c r="C83" i="1" l="1"/>
  <c r="C86" i="1" s="1"/>
</calcChain>
</file>

<file path=xl/sharedStrings.xml><?xml version="1.0" encoding="utf-8"?>
<sst xmlns="http://schemas.openxmlformats.org/spreadsheetml/2006/main" count="1240" uniqueCount="461">
  <si>
    <t>CONTRATO</t>
  </si>
  <si>
    <t>PROYECTO</t>
  </si>
  <si>
    <t>Cuentas por cobrar</t>
  </si>
  <si>
    <t>TRAMONTI</t>
  </si>
  <si>
    <t>TOTAL</t>
  </si>
  <si>
    <t>SUBTOTAL</t>
  </si>
  <si>
    <t>TRAMONTI PARADISO</t>
  </si>
  <si>
    <t>TRAMONTI PARADISO BARDAS PERIM</t>
  </si>
  <si>
    <t>TRAMONTI PARADISO CASA CLUB</t>
  </si>
  <si>
    <t>TRAMONTI PARADISO BODEGAS</t>
  </si>
  <si>
    <t>TRAMONTI PARADISO CISTERNAS</t>
  </si>
  <si>
    <t>TRAMONTI PARADISO INFRA ELECT</t>
  </si>
  <si>
    <t>TRAMONTI PARADISO INFRA HIDRO</t>
  </si>
  <si>
    <t>TRAMONTI PARADISO MOTIVO INGRESO</t>
  </si>
  <si>
    <t>TRAMONTI PARADISO MOV TIERRAS</t>
  </si>
  <si>
    <t>TRAMONTI PARADISO MUROS CONT</t>
  </si>
  <si>
    <t>TRAMONTI PARADISO OFICINA VENT</t>
  </si>
  <si>
    <t>TRAMONTI PARADISO PLANTA TRAT</t>
  </si>
  <si>
    <t>TRAMONTI PARADISO PRELIMINARES</t>
  </si>
  <si>
    <t>TRAMONTI PARADISO PAVIMENTOS</t>
  </si>
  <si>
    <t>TRAMONTI PARADISO ESTACIONAM</t>
  </si>
  <si>
    <t>TRAMONTI PARADISO VIALIDAD EXT</t>
  </si>
  <si>
    <t>TRAMONTI PARADISO TORRE B</t>
  </si>
  <si>
    <t>TRAMONTI PARADISO TORRE C</t>
  </si>
  <si>
    <t>TRAMONTI PARADISO TORRE D</t>
  </si>
  <si>
    <t>TRAMONTI PARADISO TORRE E</t>
  </si>
  <si>
    <t>TRAMONTI PARADISO TORRE F</t>
  </si>
  <si>
    <t>LIGHT HOUSE INFRA PLUVIAL MZ G</t>
  </si>
  <si>
    <t>LIGHTHOUSE VIALIDAD NORTE</t>
  </si>
  <si>
    <t>LIGHTHOUSE VIALIDAD SUR</t>
  </si>
  <si>
    <t>TODOS SANTOS</t>
  </si>
  <si>
    <t>ALVAR</t>
  </si>
  <si>
    <t>ALVAR ALCANTARILLA</t>
  </si>
  <si>
    <t>ALVAR CANAL</t>
  </si>
  <si>
    <t>ALVAR CISTERNA DE RIEGO</t>
  </si>
  <si>
    <t>ALVAR HOYO 17</t>
  </si>
  <si>
    <t>ALVAR ILUMINACION EXTERIOR</t>
  </si>
  <si>
    <t>ALVAR INFRA ELECT, VOZ Y DATOS</t>
  </si>
  <si>
    <t>ALVAR INFRA PLUVIAL VIAL PPAL</t>
  </si>
  <si>
    <t>ALVAR INFRA PLUVIAL VIALIDADES</t>
  </si>
  <si>
    <t>ALVAR MCN PERIMETRAL F2</t>
  </si>
  <si>
    <t>ALVAR INFRA VIAL T4 Y T5</t>
  </si>
  <si>
    <t>ALVAR MCN PERIMETRALES F3</t>
  </si>
  <si>
    <t>ALVAR MCN PLATAFORMA 6 Y 7</t>
  </si>
  <si>
    <t>ALVAR MOV TIERRAS PLAT 1,2 Y 3</t>
  </si>
  <si>
    <t>ALVAR MOV TIERRAS PLAT 4 Y 5</t>
  </si>
  <si>
    <t>ALVAR MOV TIERRAS PLAT 6 Y 7</t>
  </si>
  <si>
    <t>ALVAR MOV TIERRAS VIALID 4 Y 5</t>
  </si>
  <si>
    <t>ALVAR MOV TIERRAS VIALIDAD PPA</t>
  </si>
  <si>
    <t>ALVAR MUROS PERIMETRALES F1</t>
  </si>
  <si>
    <t>ALVAR MUROS PLATAFORMA 1</t>
  </si>
  <si>
    <t>ALVAR MUROS PLATAFORMA 2</t>
  </si>
  <si>
    <t>ALVAR MUROS PLATAFORMA 3</t>
  </si>
  <si>
    <t>ALVAR PAVIMENTACION VIAL 4 Y 5</t>
  </si>
  <si>
    <t>ALVAR PAVIMENTACION VIAL PPAL</t>
  </si>
  <si>
    <t>ALVAR PAVIMENTACION VIAL SEC</t>
  </si>
  <si>
    <t>ALVAR RED CONTRA INCENDIO F1</t>
  </si>
  <si>
    <t>ALVAR RED CONTRA INCENDIO F2</t>
  </si>
  <si>
    <t>ALVAR SITE DE COMUNICACIONES</t>
  </si>
  <si>
    <t>ALVAR INFRA PLUVIAL T6 Y T7 F3</t>
  </si>
  <si>
    <t>ALVAR CONDOMINIO 01</t>
  </si>
  <si>
    <t>ALVAR CONDOS</t>
  </si>
  <si>
    <t>ALVAR CONDOMINIO 02</t>
  </si>
  <si>
    <t>ALVAR CONDOMINIO 03</t>
  </si>
  <si>
    <t>ALVAR CONDOMINIO 04</t>
  </si>
  <si>
    <t>ALVAR CONDOMINIO 05</t>
  </si>
  <si>
    <t>DOI ALVAR SHOREBLOCK</t>
  </si>
  <si>
    <t>ALVAR DOI DIRECTO</t>
  </si>
  <si>
    <t>DOI ALVAR MUROS EDIF4</t>
  </si>
  <si>
    <t>DOI ALVAR MUROS ACCESO</t>
  </si>
  <si>
    <t>DOI ALVAR RED PLUVIAL</t>
  </si>
  <si>
    <t>DOI ALVAR MUROS PLATAFORMA 5</t>
  </si>
  <si>
    <t>DOI ALVAR MOTIVO DE INGRESO</t>
  </si>
  <si>
    <t>DOI ALVAR CASETA DE INGRESO</t>
  </si>
  <si>
    <t>ALMACEN GENERAL</t>
  </si>
  <si>
    <t>VENTAS INTERNAS</t>
  </si>
  <si>
    <t>DOI MAQUINARIA</t>
  </si>
  <si>
    <t>ADMON CENTRAL</t>
  </si>
  <si>
    <t>INDIRECTOS</t>
  </si>
  <si>
    <t>GASTOS ADMINISTRACION</t>
  </si>
  <si>
    <t>TOTAL INDIRECTOS</t>
  </si>
  <si>
    <t>GRAN TOTAL</t>
  </si>
  <si>
    <t>MAVILA1A INFRAESTRUCTURA</t>
  </si>
  <si>
    <t>MAVILA INFRA PLUVIAL F1</t>
  </si>
  <si>
    <t>MAVILA 1B</t>
  </si>
  <si>
    <t>1A</t>
  </si>
  <si>
    <t xml:space="preserve">MAVILA INFR ELEC, VYD, VILLAS </t>
  </si>
  <si>
    <t>TOTAL MAVILA INFRA</t>
  </si>
  <si>
    <t>TOTAL TORRES</t>
  </si>
  <si>
    <t>MAVILA1B INFRA PLUVIAL</t>
  </si>
  <si>
    <t>1B</t>
  </si>
  <si>
    <t>MAVILA1B INFRA RIEGO</t>
  </si>
  <si>
    <t>MAVILA1B INFRA SANITARIA</t>
  </si>
  <si>
    <t>MAVILA1B MOVIMIENTOS TIERRAS</t>
  </si>
  <si>
    <t>MAVILA1B INFRA AGUA P COND 01</t>
  </si>
  <si>
    <t>MAVILA1B INFRA AGUA POTABLE</t>
  </si>
  <si>
    <t>MAVILA1B MOV TIERRA CONDO 02</t>
  </si>
  <si>
    <t>MAVILA CONTINGENCIA ILEANA</t>
  </si>
  <si>
    <t>TOTAL FASE 1B</t>
  </si>
  <si>
    <t>MAVILA1B ALMACEN GENERAL</t>
  </si>
  <si>
    <t>MAVILA ANDADORES EXT COND 01</t>
  </si>
  <si>
    <t>MAVILA COND1 VIALIDAD LATERAL</t>
  </si>
  <si>
    <t>MAVILA INFRA CONDO 2 Y 3</t>
  </si>
  <si>
    <t>MAVILA MOV TIERRA CONDO 03</t>
  </si>
  <si>
    <t>MAVILA MOV TIERRA CONDO 04</t>
  </si>
  <si>
    <t>MAVILA MURO VIALIDAD CONDOS</t>
  </si>
  <si>
    <t>MAVILA PAVIMENTO VIALIDAD COND</t>
  </si>
  <si>
    <t>MAVILA GARANTIAS 2023</t>
  </si>
  <si>
    <t xml:space="preserve">MAVILA INFRA PLUVIAL VIAL 2Y3 </t>
  </si>
  <si>
    <t>MAVILA PAV VIAL CONDO 02 Y 03</t>
  </si>
  <si>
    <t>MAVILA1B MOV TIERRA CONDOMINIO</t>
  </si>
  <si>
    <t>MAVILA2A MOV TIERRAS</t>
  </si>
  <si>
    <t>MAVILA MUROS TORRES 36 37 44</t>
  </si>
  <si>
    <t>MAVILA 2A</t>
  </si>
  <si>
    <t>2A</t>
  </si>
  <si>
    <t>MAVILA INST PARARRAYOS CONDOS</t>
  </si>
  <si>
    <t>MAVILA INFRA MEDIA TENSION F2A</t>
  </si>
  <si>
    <t>MAVILA2A-1 BAJA TENSION</t>
  </si>
  <si>
    <t>MAVILA2A-1 CUARTOS DE EQUIPOS</t>
  </si>
  <si>
    <t>MAVILA2A-1 INFRA PLUVIAL</t>
  </si>
  <si>
    <t>MAVILA2A-1 RED AGUA POTABLE</t>
  </si>
  <si>
    <t xml:space="preserve">MAVILA2A-1 RED DE RIEGO </t>
  </si>
  <si>
    <t>MAVILA2A-1 RED ILUMINACION</t>
  </si>
  <si>
    <t>MAVILA2A-1 RED SANITARIA</t>
  </si>
  <si>
    <t>MAVILA2A-1 RED TELEFONIA</t>
  </si>
  <si>
    <t>MAVILA2A-1 RED TELEVISION</t>
  </si>
  <si>
    <t>MAVILA2A INFRA MEDIA TENSION</t>
  </si>
  <si>
    <t>MAVILA INFRA PLUVIAL CONDO 04</t>
  </si>
  <si>
    <t>MAVILA INFR SANITARIA CONDO 04</t>
  </si>
  <si>
    <t>MAVILA2A TORRE 34 T-5</t>
  </si>
  <si>
    <t>MAVILA 2A TORRES</t>
  </si>
  <si>
    <t>2A TORRES</t>
  </si>
  <si>
    <t>MAVILA2A TORRE 35 T-5</t>
  </si>
  <si>
    <t>MAVILA2A TORRE 36 T-5</t>
  </si>
  <si>
    <t>MAVILA2A TORRE 37 T-6</t>
  </si>
  <si>
    <t>MAVILA2A TORRE 43 T-5</t>
  </si>
  <si>
    <t>MAVILA2A TORRE 44 T-6</t>
  </si>
  <si>
    <t>MAVILA2A TORRE 45 T-4</t>
  </si>
  <si>
    <t>MAVILA2A TORRE 46 T-5</t>
  </si>
  <si>
    <t>MAVILA2A TORRE 47 T-6</t>
  </si>
  <si>
    <t>MAVILA2A TORRE 48 T-5</t>
  </si>
  <si>
    <t>MAVILA VILLA 02</t>
  </si>
  <si>
    <t>MAVILA 2A VILLAS</t>
  </si>
  <si>
    <t>2A VILLAS</t>
  </si>
  <si>
    <t>MAVILA VILLA 04</t>
  </si>
  <si>
    <t>MAVILA VILLA 05</t>
  </si>
  <si>
    <t>MAVILA VILLA 08</t>
  </si>
  <si>
    <t>MAVILA VILLA 13</t>
  </si>
  <si>
    <t>MAVILA VILLA 14</t>
  </si>
  <si>
    <t>SUBTOTAL FASE 2A</t>
  </si>
  <si>
    <t>MAVILA1B EDIFICIO 01</t>
  </si>
  <si>
    <t>MAVILA CONDO 1</t>
  </si>
  <si>
    <t>MAVILA CONDOMINIO 02</t>
  </si>
  <si>
    <t>MAVILA CONDO 2</t>
  </si>
  <si>
    <t>MAVILA CONDOMINIO 03</t>
  </si>
  <si>
    <t>MAVILA CONDO 3</t>
  </si>
  <si>
    <t>MAVILA CONDOMINIO 04</t>
  </si>
  <si>
    <t>MAVILA CONDO 4</t>
  </si>
  <si>
    <t>MAVILA GIMNASIO</t>
  </si>
  <si>
    <t>PROTOCOLO</t>
  </si>
  <si>
    <t>CENTRO DE COSTO</t>
  </si>
  <si>
    <t>CORONADO CASA 3.5</t>
  </si>
  <si>
    <t>MAVILA REMODELACION LC</t>
  </si>
  <si>
    <t>VARIOS PROYECTOS</t>
  </si>
  <si>
    <t>SANTA TERRA</t>
  </si>
  <si>
    <t>SANTA TERRA INFRAESTRUCTURA</t>
  </si>
  <si>
    <t>GRAND HYATT</t>
  </si>
  <si>
    <t>TOTAL COSTO DIRECTO SIN IVA</t>
  </si>
  <si>
    <t>USD</t>
  </si>
  <si>
    <t>TC22</t>
  </si>
  <si>
    <t>INDIRECTOS MAZATLAN</t>
  </si>
  <si>
    <t>ADMON CENTRAL HRP</t>
  </si>
  <si>
    <t>COSTO DIRECTO SIN IVA</t>
  </si>
  <si>
    <t>SIRENA DEL MAR</t>
  </si>
  <si>
    <t>RAMPA WESTIN BAJA POINT</t>
  </si>
  <si>
    <t>WESTIN</t>
  </si>
  <si>
    <t>THE WELK PAVIMENTOS Y PLUV</t>
  </si>
  <si>
    <t>WELK</t>
  </si>
  <si>
    <t>WESTIN BAJA P CUARTO MUESTRA</t>
  </si>
  <si>
    <t>THE WELK VIALIDAD ACCESO</t>
  </si>
  <si>
    <t>WESTIN IMPERMEABILIZANTES</t>
  </si>
  <si>
    <t>WESTIN PAVIMENTACION VIALIDAD</t>
  </si>
  <si>
    <t>DIAMANTE NAVE INDUSTRIAL</t>
  </si>
  <si>
    <t>DIAMANTE</t>
  </si>
  <si>
    <t>DIAMANTE OBRAS ADICIONALES</t>
  </si>
  <si>
    <t>LAS MISIONES CASAS ATLAS</t>
  </si>
  <si>
    <t>ATLAS</t>
  </si>
  <si>
    <t>LAS MISIONES PLAT MUROS INFRA</t>
  </si>
  <si>
    <t>LAS MISIONES BANQUETAS Y GUARN</t>
  </si>
  <si>
    <t>MIGALOO MUROS Y TERRACERIAS</t>
  </si>
  <si>
    <t>MIGALOO</t>
  </si>
  <si>
    <t>MIGALOO CASA 01</t>
  </si>
  <si>
    <t>MIGALOO CASAS</t>
  </si>
  <si>
    <t>MIGALOO CASA 02</t>
  </si>
  <si>
    <t>MIGALOO CASA 03</t>
  </si>
  <si>
    <t>MIGALOO CASA 06</t>
  </si>
  <si>
    <t>MIGALOO CASA 08</t>
  </si>
  <si>
    <t>MIGALOO ADIC URBANISMO</t>
  </si>
  <si>
    <t>MIGALOO CASA 4</t>
  </si>
  <si>
    <t>MIGALOO INFRAESTRUCTURAS</t>
  </si>
  <si>
    <t>MIGALOO AREAS COMUNES</t>
  </si>
  <si>
    <t>GRAND HYATT LOS CABOS</t>
  </si>
  <si>
    <t>HYATT</t>
  </si>
  <si>
    <t>GRAND HYATT ALBAÑILERIAS</t>
  </si>
  <si>
    <t>GRAND HYATT ESTRUCTURA ACERO</t>
  </si>
  <si>
    <t>PRESTAMO ENTRE EMPRESAS</t>
  </si>
  <si>
    <t>INDIRECTOS WESTIN</t>
  </si>
  <si>
    <t>INDIRECTOS WELK</t>
  </si>
  <si>
    <t>INDIRECTOS ATLAS</t>
  </si>
  <si>
    <t>IA</t>
  </si>
  <si>
    <t>IO</t>
  </si>
  <si>
    <t>AC</t>
  </si>
  <si>
    <t>A</t>
  </si>
  <si>
    <t>* RAZON SOCIAL</t>
  </si>
  <si>
    <t>* CONCEPTO</t>
  </si>
  <si>
    <t>* CENTRO DE COSTO</t>
  </si>
  <si>
    <t>CFDI
INGRESO / EGRESO</t>
  </si>
  <si>
    <t>* MXN</t>
  </si>
  <si>
    <t>* USD</t>
  </si>
  <si>
    <t>* TOTAL PESOS</t>
  </si>
  <si>
    <t>Fecha Factura</t>
  </si>
  <si>
    <t xml:space="preserve">PAGO
SEM </t>
  </si>
  <si>
    <t>COSTO 
DIRECTO</t>
  </si>
  <si>
    <t>COSTO
SIN IVA</t>
  </si>
  <si>
    <t>CUENTAS POR COBRAR</t>
  </si>
  <si>
    <t>DESARROLLADORA DE OBRA INTEGRAL DE LOS CABOS SA DE CV</t>
  </si>
  <si>
    <t>COPALA</t>
  </si>
  <si>
    <t>* PROYECTO</t>
  </si>
  <si>
    <t>*PROYECTO</t>
  </si>
  <si>
    <t>* Fecha Factura</t>
  </si>
  <si>
    <t>GRAN ARMEE DEL CABO</t>
  </si>
  <si>
    <t>SUB TOTAL</t>
  </si>
  <si>
    <t>TIT</t>
  </si>
  <si>
    <t>* SUB TOTAL</t>
  </si>
  <si>
    <t>LIGHTHOUSE Y QUIVIRA</t>
  </si>
  <si>
    <t>CONCORDE DEVELOPMENT</t>
  </si>
  <si>
    <t>DEVOLUCION DE ANTICIPO</t>
  </si>
  <si>
    <t>NC-3647 / 0</t>
  </si>
  <si>
    <t>NC-3646 / 0</t>
  </si>
  <si>
    <t>NC-3733 / 0</t>
  </si>
  <si>
    <t>DESARROLLADORA INMOBILIARIA BLADOI</t>
  </si>
  <si>
    <t>NO PB</t>
  </si>
  <si>
    <t>MAQUINARIA</t>
  </si>
  <si>
    <t>DESARROLLADORA INMOBILIARIA MAGA SA DE CV</t>
  </si>
  <si>
    <t xml:space="preserve">DESARROLLADORA INMOBILIARIA MAGA </t>
  </si>
  <si>
    <t>DESARROLLADORA DE OBRA INTEGRAL DE LOS CABOS</t>
  </si>
  <si>
    <t>TERRACERIAS MAGA</t>
  </si>
  <si>
    <t xml:space="preserve">INTERBLADOI ESTIMACION </t>
  </si>
  <si>
    <t>VENTAS INTERNAS, MATERIAL PARA CONSTRUCCION.</t>
  </si>
  <si>
    <t>DOI-16395 / 0</t>
  </si>
  <si>
    <t>COROT-2024-013 TRABAJOS MAQUINA RETROEXCAVADORA</t>
  </si>
  <si>
    <t>DOI-16777 / 0</t>
  </si>
  <si>
    <t>SEM 40</t>
  </si>
  <si>
    <t>SEM 5</t>
  </si>
  <si>
    <t>TOTAL DOI</t>
  </si>
  <si>
    <t>T O T A L</t>
  </si>
  <si>
    <t>MAVILA</t>
  </si>
  <si>
    <t>MAV2022-126 EST 04 DEV ANTICIPO</t>
  </si>
  <si>
    <t>DME-1837 / 0</t>
  </si>
  <si>
    <t>MAV2021-115 NOTA DE CREDITO</t>
  </si>
  <si>
    <t>DME-1915 / 0</t>
  </si>
  <si>
    <t>MAV2021-99 EST 1 DEV ANTICIPO</t>
  </si>
  <si>
    <t>DME-1927 / 0</t>
  </si>
  <si>
    <t>MAV2021-98 EST 2 DEV ANTICIPO</t>
  </si>
  <si>
    <t>DME-1926 / 0</t>
  </si>
  <si>
    <t>MAV2024-165 ESTIMACION 02</t>
  </si>
  <si>
    <t>DIM-3941 / 0</t>
  </si>
  <si>
    <t>MAV2023-124 DEVOLUCION DE ANTICIPO</t>
  </si>
  <si>
    <t>DME-2091</t>
  </si>
  <si>
    <t>DIM-4102 / 0</t>
  </si>
  <si>
    <t xml:space="preserve">MORROCO BEREBER </t>
  </si>
  <si>
    <t>SANTA TERRA URBANIZACION</t>
  </si>
  <si>
    <t>DIM-4166 / 0</t>
  </si>
  <si>
    <t>TERRACERIAS MAGA SA DE CV</t>
  </si>
  <si>
    <t xml:space="preserve">VENTASINTERNASDOI ESTIMACION </t>
  </si>
  <si>
    <t>TMI-2411 / 0</t>
  </si>
  <si>
    <t>SEM 39</t>
  </si>
  <si>
    <t>CONFIRM.</t>
  </si>
  <si>
    <t>RESIDENCIAL ATLAS</t>
  </si>
  <si>
    <t xml:space="preserve">LM ETA 221118 ESTIMACION </t>
  </si>
  <si>
    <t>TMI-2157 / 0</t>
  </si>
  <si>
    <t>SEM 26</t>
  </si>
  <si>
    <t>PARKS CONCENTRADORA</t>
  </si>
  <si>
    <t>TOTAL TM</t>
  </si>
  <si>
    <t>TOTAL DIM</t>
  </si>
  <si>
    <t>SANTA TERRA OBRA VERTICAL</t>
  </si>
  <si>
    <t>ST MUROS ESTIMACION 03 NCREDITO</t>
  </si>
  <si>
    <t>SANTA TERRA URBANIZACION NCREDITO</t>
  </si>
  <si>
    <t>SANTA PATRICIA VENTAS</t>
  </si>
  <si>
    <t>SANTA PATRICIA VENTAS (CON IVA)</t>
  </si>
  <si>
    <t>SANTA PATRICIA</t>
  </si>
  <si>
    <t>MAVILA AREA COMUN COND 2 Y 3</t>
  </si>
  <si>
    <t>NOTA CREDITO</t>
  </si>
  <si>
    <t>DOI ALVAR MUROS PLATAFORMA 4</t>
  </si>
  <si>
    <t xml:space="preserve">MAVILA INFRA RIEGO CONDO 04 </t>
  </si>
  <si>
    <t>MAVILA INFRA AGUA P CONDO 04</t>
  </si>
  <si>
    <t>DIM-4247 / 0</t>
  </si>
  <si>
    <t>VARIOS</t>
  </si>
  <si>
    <t>LOTE DE MATERIAL S/OREDENES DE COMPRA.</t>
  </si>
  <si>
    <t>MAV2023-143</t>
  </si>
  <si>
    <t>MAV2023-144</t>
  </si>
  <si>
    <t>MAV2023-146</t>
  </si>
  <si>
    <t/>
  </si>
  <si>
    <t>ALVAR MOV TIERRAS CASA CLUB</t>
  </si>
  <si>
    <t>RESERVA MXN</t>
  </si>
  <si>
    <t>RESERVA USD</t>
  </si>
  <si>
    <t>PESCADERO CASA 45</t>
  </si>
  <si>
    <t>ALV2022-22 ESTIMACION 150 EQ DESCON</t>
  </si>
  <si>
    <t>DOI-17131 / NC-4923 CXL</t>
  </si>
  <si>
    <t>ARIZPE + AD ARQUITECTOS</t>
  </si>
  <si>
    <t>DOI-17157 / 0</t>
  </si>
  <si>
    <t>RENTA DE TELELEHANDLER POR 2:30 HRS.</t>
  </si>
  <si>
    <t>VENTAS INTERNAS LOTE DE MATERIAL.</t>
  </si>
  <si>
    <t>DIM-4280 / 0</t>
  </si>
  <si>
    <t>DOI-17167 / 0</t>
  </si>
  <si>
    <t>DOI-17168 / 0</t>
  </si>
  <si>
    <t xml:space="preserve">MAQARIZPE ESTIMACION </t>
  </si>
  <si>
    <t>SERGIO EDUARDO GONZALEZ TELLO</t>
  </si>
  <si>
    <t>MAVILA INFRA PLUVIAL FASE 2A3</t>
  </si>
  <si>
    <t>MAVILA ANDADORES CONDOMINIO 04</t>
  </si>
  <si>
    <t>CHRISTUS MUGUERZA</t>
  </si>
  <si>
    <t>SEM 29</t>
  </si>
  <si>
    <t>MAVILA ALBERCAS</t>
  </si>
  <si>
    <t>ALVAR GARANTIAS CONDO 1, 2 Y 3</t>
  </si>
  <si>
    <t>MAVILA PAVIMENTOS VIAL CONDO 4</t>
  </si>
  <si>
    <t>DOI ALVAR CONDOMINIO 06</t>
  </si>
  <si>
    <t>ALVAR CUBO ELEVADOR CONDO 06</t>
  </si>
  <si>
    <t>MAVILA INFRA MEDIA TENSION C04</t>
  </si>
  <si>
    <t>MAVILA INFRA BAJA TENSION C04</t>
  </si>
  <si>
    <t>OK SEMANA</t>
  </si>
  <si>
    <t>*TM</t>
  </si>
  <si>
    <t>MUGUERZA MOV DE TIERRAS</t>
  </si>
  <si>
    <t>MAVILA INFRA ALBERCA</t>
  </si>
  <si>
    <t>ALV2022-22 ESTIMACION 194</t>
  </si>
  <si>
    <t>DOI-17366 / 0</t>
  </si>
  <si>
    <t>TRAMONTI PARADISO JARDINERIAS</t>
  </si>
  <si>
    <t>MAVILA INFRA TELEFONIA COND 04</t>
  </si>
  <si>
    <t>MAVILA INFRA TELEVISION C04</t>
  </si>
  <si>
    <t>SIRENA DEL MAR HOTEL</t>
  </si>
  <si>
    <t>MAVILA INFRA SANITARIA 2A3</t>
  </si>
  <si>
    <t>INGRESO ESTA SEMANA</t>
  </si>
  <si>
    <t>ALMACEN GENERAL TM</t>
  </si>
  <si>
    <t>SEM 45 24</t>
  </si>
  <si>
    <t>NUM SEMANA</t>
  </si>
  <si>
    <t>DOI-17426 / 0</t>
  </si>
  <si>
    <t>MAVILA2A TORRE 38 T-5</t>
  </si>
  <si>
    <t>MAVILA2A TORRE 39 T-5</t>
  </si>
  <si>
    <t>SIN FACTURA</t>
  </si>
  <si>
    <t>MAVILA TORRES FASE 2A3</t>
  </si>
  <si>
    <t>2A3 TORRES</t>
  </si>
  <si>
    <t>MZT OP PUENTE PEATONAL</t>
  </si>
  <si>
    <t>SEM 48</t>
  </si>
  <si>
    <t xml:space="preserve">TPAR-21-2025 ANTICIPO </t>
  </si>
  <si>
    <t>TRAMONTI PARADISO TORRE G</t>
  </si>
  <si>
    <t>DOI-17464 / 0</t>
  </si>
  <si>
    <t>TPAR-14-2024 ESTIMACION 38</t>
  </si>
  <si>
    <t>ALV2022-28 ESTIMACION 208</t>
  </si>
  <si>
    <t>DOI-17456 / NC-5126</t>
  </si>
  <si>
    <t>ALV2022-28 ESTIMACION 209</t>
  </si>
  <si>
    <t>DOI-17457 / NC-5128</t>
  </si>
  <si>
    <t>ALV2022-28 ESTIMACION 210</t>
  </si>
  <si>
    <t>DOI-17458 / NC-5129</t>
  </si>
  <si>
    <t>ALV2022-28 ESTIMACION 211</t>
  </si>
  <si>
    <t>DOI-17459 / NC-5130</t>
  </si>
  <si>
    <t>ALV2022-28 ESTIMACION 212</t>
  </si>
  <si>
    <t>DOI-17460 / NC-5131</t>
  </si>
  <si>
    <t>ALV2023-44 ESTIMACION 15</t>
  </si>
  <si>
    <t>DOI-17461 / NC-5132</t>
  </si>
  <si>
    <t>ALV2023-44 ESTIMACION 16</t>
  </si>
  <si>
    <t>DOI-17462 / NC-5133</t>
  </si>
  <si>
    <t>ALV2024-58 ESTIMACION 03</t>
  </si>
  <si>
    <t>DOI-17463 / NC-5134</t>
  </si>
  <si>
    <t>MAV2024-162 ESTIMACION 51</t>
  </si>
  <si>
    <t>DIM-4373 / 0</t>
  </si>
  <si>
    <t>MAV2024-162 ESTIMACION 52</t>
  </si>
  <si>
    <t>DIM-4374 / DME-2270</t>
  </si>
  <si>
    <t>MAV2024-162 ESTIMACION 53</t>
  </si>
  <si>
    <t>DIM-4375 / DME-2271</t>
  </si>
  <si>
    <t>MAV2024-162 ESTIMACION 54</t>
  </si>
  <si>
    <t>DIM-4376 / DME-2272</t>
  </si>
  <si>
    <t>MAV2025-193 ESTIMACION 02</t>
  </si>
  <si>
    <t>DIM-4377 / DME-2273</t>
  </si>
  <si>
    <t>MAZATLAN</t>
  </si>
  <si>
    <t>ALV2022-64 ESTIMACION  1</t>
  </si>
  <si>
    <t>SEM 49</t>
  </si>
  <si>
    <t>DOI-17465 / 0</t>
  </si>
  <si>
    <t>DIAMANTE CABO SAN LUCAS</t>
  </si>
  <si>
    <t>NF00005 ESTIMACION 10</t>
  </si>
  <si>
    <t>TMI-3116 / 0</t>
  </si>
  <si>
    <t>WHV CABO MANAGEMENT</t>
  </si>
  <si>
    <t>N-11684 ESTIMACION 01</t>
  </si>
  <si>
    <t>SIRENA DEL MAR EDIFICIO 1 Y 3</t>
  </si>
  <si>
    <t>TMI-3118 / 0</t>
  </si>
  <si>
    <t xml:space="preserve">MAV2025-187 ANTICIPO </t>
  </si>
  <si>
    <t>MAVILA2A TORRE 40 T-6</t>
  </si>
  <si>
    <t>DIM-4378 / 0</t>
  </si>
  <si>
    <t xml:space="preserve">MAV2025-214 ANTICIPO </t>
  </si>
  <si>
    <t>DIM-4379 / 0</t>
  </si>
  <si>
    <t xml:space="preserve">MAV2025-214 USD ANTICIPO </t>
  </si>
  <si>
    <t>DIM-4380 / 0</t>
  </si>
  <si>
    <t>TPAR-13-2024 ESTIMACION 35</t>
  </si>
  <si>
    <t>DOI-17466 / NC-5136</t>
  </si>
  <si>
    <t>TPAR-14-2024 ESTIMACION 39</t>
  </si>
  <si>
    <t>DOI-17468 / 0</t>
  </si>
  <si>
    <t>TPAR-17-2024 ESTIMACION 04</t>
  </si>
  <si>
    <t>DOI-17469 / 0</t>
  </si>
  <si>
    <t>ALV2022-28 ESTIMACION 213</t>
  </si>
  <si>
    <t>DOI-17470 / NC-5139</t>
  </si>
  <si>
    <t>ALV2022-28 ESTIMACION 214</t>
  </si>
  <si>
    <t>DOI-17471 / NC-5140</t>
  </si>
  <si>
    <t>ALV2022-28 ESTIMACION 215</t>
  </si>
  <si>
    <t>DOI-17472 / NC-5141</t>
  </si>
  <si>
    <t>MAV2024-162 ESTIMACION 55</t>
  </si>
  <si>
    <t>DIM-4382 / DME-2274</t>
  </si>
  <si>
    <t>MAV2025-206 ESTIMACION 01</t>
  </si>
  <si>
    <t>DIM-4383 / DME-2275</t>
  </si>
  <si>
    <t xml:space="preserve">MAV2025-215 ANTICIPO </t>
  </si>
  <si>
    <t>MAVILA MOV TIERRAS CONDO 5 Y 2</t>
  </si>
  <si>
    <t>DIM-4381 / 0</t>
  </si>
  <si>
    <t>ALV2022-65 ANT. 70% DE CARPINTERIA</t>
  </si>
  <si>
    <t>OK SEMANA 48</t>
  </si>
  <si>
    <t>TPAR-14-2024 ESTIMACION 40</t>
  </si>
  <si>
    <t>DOI-17480 / 0</t>
  </si>
  <si>
    <t>SEM 50</t>
  </si>
  <si>
    <t>ALV2021-05 ESTIMACION 12</t>
  </si>
  <si>
    <t>DOI-17474 / 0</t>
  </si>
  <si>
    <t>ALV2021-06 ESTIMACION 08</t>
  </si>
  <si>
    <t>DOI-17475 / 0</t>
  </si>
  <si>
    <t>ALV2021-07 ESTIMACION 11</t>
  </si>
  <si>
    <t>DOI-17476 / 0</t>
  </si>
  <si>
    <t>ALV2022-28 ESTIMACION 216</t>
  </si>
  <si>
    <t>DOI-17477 / NC-5143</t>
  </si>
  <si>
    <t>ALV2022-28 ESTIMACION 217</t>
  </si>
  <si>
    <t>DOI-17478 / NC-5144</t>
  </si>
  <si>
    <t>ALV2022-28 ESTIMACION 218</t>
  </si>
  <si>
    <t>DOI-17479 / NC-5145</t>
  </si>
  <si>
    <t>MAV2023-140 ESTIMACION 05</t>
  </si>
  <si>
    <t>DIM-4393 / DME-2277</t>
  </si>
  <si>
    <t>MAV2024-162 ESTIMACION 57</t>
  </si>
  <si>
    <t>DIM-4386 / DME-2276</t>
  </si>
  <si>
    <t>MAV2024-162 ESTIMACION 56</t>
  </si>
  <si>
    <t>DIM-4390 / DME-2280</t>
  </si>
  <si>
    <t>MAV2025-198 ESTIMACION 01</t>
  </si>
  <si>
    <t>DIM-4389 / DME-2279</t>
  </si>
  <si>
    <t>CHRISTUS MEXICO REAL ESTATE HOLDING COMPANY</t>
  </si>
  <si>
    <t>CMRE-LC-120969-CPUFVV-01 ESTIMACION 03</t>
  </si>
  <si>
    <t>DOI-17473 / 0</t>
  </si>
  <si>
    <t>OWYHEE PRODUCE</t>
  </si>
  <si>
    <t>DIM-TS-01-2025 ESTIMACION PAGO 7</t>
  </si>
  <si>
    <t>DIM-TS-02-2025 ESTIMACION PAGO 1</t>
  </si>
  <si>
    <t>PESCADERO INFRA ELEC Y AGUA PO</t>
  </si>
  <si>
    <t>DIM-4385 / 0</t>
  </si>
  <si>
    <t>DIM-4394 / 0</t>
  </si>
  <si>
    <t>44549 ESTIMACION 04</t>
  </si>
  <si>
    <t>TMI-3122 / 0</t>
  </si>
  <si>
    <t>DIM-4384 / 0</t>
  </si>
  <si>
    <t>MAVOT2025-34 ANT ACCES ELECT</t>
  </si>
  <si>
    <t>HECTOR HUGO GUTIERREZ CANIZALEZ</t>
  </si>
  <si>
    <t>PAGO A CUENTA DEPARTAMENTO 1102</t>
  </si>
  <si>
    <t>INGENIERIA Y CONFORT EN CLIMAS PROFESIONALES SA DE CV</t>
  </si>
  <si>
    <t>PAGO A CUENTA DEPARTAMENTO 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</si>
</sst>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#,##0.00_ ;[Red]\-#,##0.00\ "/>
    <numFmt numFmtId="166" formatCode="[$-F800]dddd\,\ mmmm\ dd\,\ yyyy"/>
    <numFmt numFmtId="167" formatCode="#,##0.000"/>
    <numFmt numFmtId="168" formatCode="0.0000"/>
    <numFmt numFmtId="169" formatCode="mmmm\ d\,\ yyyy"/>
    <numFmt numFmtId="170" formatCode="_-* #,##0.00\ _P_t_s_-;\-* #,##0.00\ _P_t_s_-;_-* &quot;-&quot;??\ _P_t_s_-;_-@_-"/>
    <numFmt numFmtId="171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b/>
      <i/>
      <sz val="10"/>
      <color theme="0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6" fontId="1" fillId="0" borderId="0"/>
    <xf numFmtId="0" fontId="1" fillId="0" borderId="0"/>
    <xf numFmtId="166" fontId="1" fillId="0" borderId="0"/>
    <xf numFmtId="166" fontId="8" fillId="0" borderId="0"/>
    <xf numFmtId="170" fontId="8" fillId="0" borderId="0" applyFont="0" applyFill="0" applyBorder="0" applyAlignment="0" applyProtection="0"/>
    <xf numFmtId="166" fontId="8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2">
    <xf numFmtId="0" fontId="0" fillId="0" borderId="0" xfId="0"/>
    <xf numFmtId="164" fontId="4" fillId="2" borderId="1" xfId="1" applyFont="1" applyFill="1" applyBorder="1" applyAlignment="1">
      <alignment horizontal="center" wrapText="1"/>
    </xf>
    <xf numFmtId="165" fontId="4" fillId="2" borderId="1" xfId="1" applyNumberFormat="1" applyFont="1" applyFill="1" applyBorder="1" applyAlignment="1">
      <alignment horizontal="center" wrapText="1"/>
    </xf>
    <xf numFmtId="166" fontId="1" fillId="0" borderId="0" xfId="2"/>
    <xf numFmtId="166" fontId="5" fillId="0" borderId="0" xfId="2" applyFont="1"/>
    <xf numFmtId="165" fontId="5" fillId="0" borderId="0" xfId="1" applyNumberFormat="1" applyFont="1"/>
    <xf numFmtId="165" fontId="6" fillId="0" borderId="0" xfId="1" applyNumberFormat="1" applyFont="1"/>
    <xf numFmtId="166" fontId="6" fillId="0" borderId="0" xfId="2" applyFont="1"/>
    <xf numFmtId="165" fontId="5" fillId="3" borderId="0" xfId="1" applyNumberFormat="1" applyFont="1" applyFill="1"/>
    <xf numFmtId="167" fontId="5" fillId="0" borderId="0" xfId="0" applyNumberFormat="1" applyFont="1"/>
    <xf numFmtId="166" fontId="6" fillId="0" borderId="2" xfId="2" applyFont="1" applyBorder="1"/>
    <xf numFmtId="166" fontId="5" fillId="0" borderId="2" xfId="2" applyFont="1" applyBorder="1" applyAlignment="1">
      <alignment horizontal="right"/>
    </xf>
    <xf numFmtId="165" fontId="6" fillId="3" borderId="2" xfId="1" applyNumberFormat="1" applyFont="1" applyFill="1" applyBorder="1"/>
    <xf numFmtId="166" fontId="0" fillId="0" borderId="0" xfId="2" applyFont="1"/>
    <xf numFmtId="166" fontId="5" fillId="4" borderId="0" xfId="2" applyFont="1" applyFill="1"/>
    <xf numFmtId="166" fontId="2" fillId="0" borderId="0" xfId="2" applyFont="1" applyAlignment="1">
      <alignment horizontal="right"/>
    </xf>
    <xf numFmtId="165" fontId="6" fillId="3" borderId="3" xfId="1" applyNumberFormat="1" applyFont="1" applyFill="1" applyBorder="1"/>
    <xf numFmtId="165" fontId="1" fillId="0" borderId="0" xfId="2" applyNumberFormat="1"/>
    <xf numFmtId="165" fontId="5" fillId="5" borderId="0" xfId="1" applyNumberFormat="1" applyFont="1" applyFill="1"/>
    <xf numFmtId="166" fontId="5" fillId="6" borderId="0" xfId="2" applyFont="1" applyFill="1"/>
    <xf numFmtId="0" fontId="3" fillId="0" borderId="4" xfId="3" applyFont="1" applyBorder="1"/>
    <xf numFmtId="166" fontId="3" fillId="0" borderId="0" xfId="2" applyFont="1"/>
    <xf numFmtId="0" fontId="3" fillId="0" borderId="5" xfId="3" applyFont="1" applyBorder="1"/>
    <xf numFmtId="0" fontId="3" fillId="0" borderId="6" xfId="3" applyFont="1" applyBorder="1"/>
    <xf numFmtId="0" fontId="1" fillId="0" borderId="0" xfId="2" applyNumberFormat="1"/>
    <xf numFmtId="167" fontId="5" fillId="7" borderId="0" xfId="0" applyNumberFormat="1" applyFont="1" applyFill="1"/>
    <xf numFmtId="167" fontId="5" fillId="8" borderId="0" xfId="0" applyNumberFormat="1" applyFont="1" applyFill="1"/>
    <xf numFmtId="0" fontId="7" fillId="0" borderId="0" xfId="3" applyFont="1"/>
    <xf numFmtId="0" fontId="3" fillId="0" borderId="0" xfId="3" applyFont="1" applyAlignment="1">
      <alignment horizontal="right"/>
    </xf>
    <xf numFmtId="166" fontId="5" fillId="0" borderId="2" xfId="2" applyFont="1" applyBorder="1"/>
    <xf numFmtId="166" fontId="3" fillId="0" borderId="0" xfId="4" applyFont="1"/>
    <xf numFmtId="167" fontId="5" fillId="4" borderId="0" xfId="0" applyNumberFormat="1" applyFont="1" applyFill="1"/>
    <xf numFmtId="166" fontId="6" fillId="0" borderId="7" xfId="2" applyFont="1" applyBorder="1"/>
    <xf numFmtId="165" fontId="5" fillId="0" borderId="7" xfId="1" applyNumberFormat="1" applyFont="1" applyBorder="1"/>
    <xf numFmtId="166" fontId="6" fillId="0" borderId="2" xfId="2" applyFont="1" applyBorder="1" applyAlignment="1">
      <alignment horizontal="right"/>
    </xf>
    <xf numFmtId="166" fontId="0" fillId="0" borderId="0" xfId="2" applyFont="1" applyAlignment="1">
      <alignment horizontal="right"/>
    </xf>
    <xf numFmtId="165" fontId="5" fillId="0" borderId="0" xfId="1" applyNumberFormat="1" applyFont="1" applyAlignment="1">
      <alignment horizontal="right"/>
    </xf>
    <xf numFmtId="164" fontId="1" fillId="0" borderId="0" xfId="1" applyFont="1"/>
    <xf numFmtId="165" fontId="5" fillId="0" borderId="0" xfId="1" applyNumberFormat="1" applyFont="1" applyBorder="1"/>
    <xf numFmtId="168" fontId="5" fillId="4" borderId="0" xfId="0" applyNumberFormat="1" applyFont="1" applyFill="1"/>
    <xf numFmtId="167" fontId="1" fillId="0" borderId="0" xfId="1" applyNumberFormat="1" applyFont="1"/>
    <xf numFmtId="165" fontId="6" fillId="3" borderId="0" xfId="1" applyNumberFormat="1" applyFont="1" applyFill="1" applyBorder="1"/>
    <xf numFmtId="166" fontId="5" fillId="0" borderId="0" xfId="4" applyFont="1"/>
    <xf numFmtId="164" fontId="0" fillId="0" borderId="0" xfId="1" applyFont="1"/>
    <xf numFmtId="0" fontId="5" fillId="0" borderId="0" xfId="0" applyFont="1" applyAlignment="1">
      <alignment horizontal="center" vertical="center" wrapText="1"/>
    </xf>
    <xf numFmtId="166" fontId="12" fillId="9" borderId="8" xfId="5" applyFont="1" applyFill="1" applyBorder="1" applyAlignment="1">
      <alignment horizontal="center" vertical="center" wrapText="1"/>
    </xf>
    <xf numFmtId="166" fontId="12" fillId="9" borderId="8" xfId="5" applyFont="1" applyFill="1" applyBorder="1" applyAlignment="1">
      <alignment horizontal="left" vertical="center"/>
    </xf>
    <xf numFmtId="166" fontId="12" fillId="9" borderId="8" xfId="5" applyFont="1" applyFill="1" applyBorder="1" applyAlignment="1">
      <alignment horizontal="left" vertical="center" wrapText="1"/>
    </xf>
    <xf numFmtId="44" fontId="12" fillId="9" borderId="8" xfId="5" applyNumberFormat="1" applyFont="1" applyFill="1" applyBorder="1" applyAlignment="1">
      <alignment horizontal="center" vertical="center" wrapText="1"/>
    </xf>
    <xf numFmtId="15" fontId="12" fillId="9" borderId="8" xfId="5" applyNumberFormat="1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167" fontId="5" fillId="0" borderId="0" xfId="1" applyNumberFormat="1" applyFont="1" applyAlignment="1">
      <alignment horizontal="center" vertical="center" wrapText="1"/>
    </xf>
    <xf numFmtId="4" fontId="5" fillId="0" borderId="0" xfId="0" applyNumberFormat="1" applyFont="1"/>
    <xf numFmtId="0" fontId="5" fillId="0" borderId="0" xfId="0" applyFont="1"/>
    <xf numFmtId="164" fontId="5" fillId="0" borderId="0" xfId="1" applyFont="1"/>
    <xf numFmtId="169" fontId="13" fillId="3" borderId="0" xfId="1" applyNumberFormat="1" applyFont="1" applyFill="1" applyBorder="1" applyAlignment="1">
      <alignment horizontal="left" vertical="center"/>
    </xf>
    <xf numFmtId="166" fontId="13" fillId="3" borderId="0" xfId="1" applyNumberFormat="1" applyFont="1" applyFill="1" applyBorder="1" applyAlignment="1">
      <alignment horizontal="left" vertical="center"/>
    </xf>
    <xf numFmtId="44" fontId="14" fillId="3" borderId="0" xfId="1" applyNumberFormat="1" applyFont="1" applyFill="1" applyBorder="1" applyAlignment="1">
      <alignment horizontal="right" vertical="center"/>
    </xf>
    <xf numFmtId="15" fontId="13" fillId="3" borderId="0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4" fontId="5" fillId="0" borderId="0" xfId="0" applyNumberFormat="1" applyFont="1"/>
    <xf numFmtId="4" fontId="5" fillId="11" borderId="0" xfId="0" applyNumberFormat="1" applyFont="1" applyFill="1"/>
    <xf numFmtId="169" fontId="15" fillId="0" borderId="0" xfId="1" applyNumberFormat="1" applyFont="1" applyBorder="1" applyAlignment="1">
      <alignment horizontal="left" vertical="center"/>
    </xf>
    <xf numFmtId="166" fontId="13" fillId="0" borderId="0" xfId="1" applyNumberFormat="1" applyFont="1" applyBorder="1" applyAlignment="1">
      <alignment horizontal="left" vertical="center"/>
    </xf>
    <xf numFmtId="44" fontId="14" fillId="0" borderId="0" xfId="1" applyNumberFormat="1" applyFont="1" applyBorder="1" applyAlignment="1">
      <alignment horizontal="right" vertical="center"/>
    </xf>
    <xf numFmtId="0" fontId="5" fillId="0" borderId="0" xfId="1" applyNumberFormat="1" applyFont="1" applyAlignment="1">
      <alignment horizontal="center"/>
    </xf>
    <xf numFmtId="164" fontId="5" fillId="0" borderId="0" xfId="1" applyFont="1" applyAlignment="1">
      <alignment horizontal="center"/>
    </xf>
    <xf numFmtId="44" fontId="6" fillId="0" borderId="0" xfId="0" applyNumberFormat="1" applyFont="1" applyAlignment="1">
      <alignment horizontal="center"/>
    </xf>
    <xf numFmtId="169" fontId="13" fillId="0" borderId="0" xfId="1" applyNumberFormat="1" applyFont="1" applyBorder="1" applyAlignment="1">
      <alignment horizontal="left" vertical="center"/>
    </xf>
    <xf numFmtId="15" fontId="14" fillId="0" borderId="0" xfId="1" applyNumberFormat="1" applyFont="1" applyBorder="1" applyAlignment="1">
      <alignment vertical="center"/>
    </xf>
    <xf numFmtId="169" fontId="13" fillId="0" borderId="0" xfId="6" applyNumberFormat="1" applyFont="1" applyBorder="1" applyAlignment="1">
      <alignment horizontal="left" vertical="center"/>
    </xf>
    <xf numFmtId="15" fontId="13" fillId="0" borderId="0" xfId="1" applyNumberFormat="1" applyFont="1" applyBorder="1" applyAlignment="1">
      <alignment vertical="center"/>
    </xf>
    <xf numFmtId="0" fontId="5" fillId="0" borderId="0" xfId="1" applyNumberFormat="1" applyFont="1" applyAlignment="1">
      <alignment horizontal="left"/>
    </xf>
    <xf numFmtId="15" fontId="12" fillId="9" borderId="9" xfId="5" applyNumberFormat="1" applyFont="1" applyFill="1" applyBorder="1" applyAlignment="1">
      <alignment horizontal="center" vertical="center" wrapText="1"/>
    </xf>
    <xf numFmtId="0" fontId="12" fillId="9" borderId="9" xfId="5" applyNumberFormat="1" applyFont="1" applyFill="1" applyBorder="1" applyAlignment="1">
      <alignment horizontal="center" vertical="center" wrapText="1"/>
    </xf>
    <xf numFmtId="166" fontId="12" fillId="9" borderId="9" xfId="5" applyFont="1" applyFill="1" applyBorder="1" applyAlignment="1">
      <alignment horizontal="center" vertical="center" wrapText="1"/>
    </xf>
    <xf numFmtId="44" fontId="12" fillId="9" borderId="9" xfId="5" applyNumberFormat="1" applyFont="1" applyFill="1" applyBorder="1" applyAlignment="1">
      <alignment horizontal="center" vertical="center" wrapText="1"/>
    </xf>
    <xf numFmtId="0" fontId="14" fillId="0" borderId="8" xfId="7" applyNumberFormat="1" applyFont="1" applyBorder="1" applyAlignment="1">
      <alignment horizontal="left"/>
    </xf>
    <xf numFmtId="166" fontId="14" fillId="0" borderId="8" xfId="7" applyFont="1" applyBorder="1" applyAlignment="1">
      <alignment horizontal="left"/>
    </xf>
    <xf numFmtId="0" fontId="14" fillId="0" borderId="8" xfId="0" applyFont="1" applyBorder="1" applyAlignment="1">
      <alignment horizontal="left" vertical="center"/>
    </xf>
    <xf numFmtId="44" fontId="14" fillId="0" borderId="8" xfId="1" applyNumberFormat="1" applyFont="1" applyFill="1" applyBorder="1"/>
    <xf numFmtId="44" fontId="14" fillId="12" borderId="8" xfId="1" applyNumberFormat="1" applyFont="1" applyFill="1" applyBorder="1"/>
    <xf numFmtId="15" fontId="14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44" fontId="5" fillId="0" borderId="8" xfId="0" applyNumberFormat="1" applyFont="1" applyBorder="1"/>
    <xf numFmtId="44" fontId="5" fillId="13" borderId="8" xfId="0" applyNumberFormat="1" applyFont="1" applyFill="1" applyBorder="1"/>
    <xf numFmtId="167" fontId="5" fillId="0" borderId="8" xfId="1" applyNumberFormat="1" applyFont="1" applyBorder="1"/>
    <xf numFmtId="4" fontId="5" fillId="0" borderId="8" xfId="0" applyNumberFormat="1" applyFont="1" applyBorder="1"/>
    <xf numFmtId="0" fontId="5" fillId="0" borderId="8" xfId="0" applyFont="1" applyBorder="1"/>
    <xf numFmtId="171" fontId="14" fillId="0" borderId="0" xfId="6" applyNumberFormat="1" applyFont="1" applyBorder="1" applyAlignment="1">
      <alignment horizontal="left"/>
    </xf>
    <xf numFmtId="166" fontId="14" fillId="0" borderId="0" xfId="5" applyFont="1" applyAlignment="1">
      <alignment horizontal="left"/>
    </xf>
    <xf numFmtId="15" fontId="13" fillId="0" borderId="0" xfId="5" applyNumberFormat="1" applyFont="1" applyAlignment="1">
      <alignment horizontal="left"/>
    </xf>
    <xf numFmtId="44" fontId="13" fillId="0" borderId="0" xfId="6" applyNumberFormat="1" applyFont="1" applyBorder="1" applyAlignment="1">
      <alignment horizontal="right"/>
    </xf>
    <xf numFmtId="164" fontId="16" fillId="0" borderId="0" xfId="6" applyNumberFormat="1" applyFont="1" applyBorder="1" applyAlignment="1">
      <alignment horizontal="center"/>
    </xf>
    <xf numFmtId="0" fontId="12" fillId="9" borderId="8" xfId="5" applyNumberFormat="1" applyFont="1" applyFill="1" applyBorder="1" applyAlignment="1">
      <alignment horizontal="center" vertical="center" wrapText="1"/>
    </xf>
    <xf numFmtId="44" fontId="13" fillId="0" borderId="2" xfId="6" applyNumberFormat="1" applyFont="1" applyBorder="1" applyAlignment="1">
      <alignment horizontal="right"/>
    </xf>
    <xf numFmtId="166" fontId="14" fillId="5" borderId="8" xfId="7" applyFont="1" applyFill="1" applyBorder="1" applyAlignment="1">
      <alignment horizontal="left"/>
    </xf>
    <xf numFmtId="0" fontId="14" fillId="5" borderId="8" xfId="0" applyFont="1" applyFill="1" applyBorder="1" applyAlignment="1">
      <alignment horizontal="left" vertical="center"/>
    </xf>
    <xf numFmtId="44" fontId="14" fillId="5" borderId="8" xfId="1" applyNumberFormat="1" applyFont="1" applyFill="1" applyBorder="1"/>
    <xf numFmtId="44" fontId="5" fillId="13" borderId="0" xfId="0" applyNumberFormat="1" applyFont="1" applyFill="1"/>
    <xf numFmtId="0" fontId="5" fillId="15" borderId="0" xfId="0" applyFont="1" applyFill="1"/>
    <xf numFmtId="0" fontId="5" fillId="15" borderId="8" xfId="0" applyFont="1" applyFill="1" applyBorder="1" applyAlignment="1">
      <alignment horizontal="left"/>
    </xf>
    <xf numFmtId="0" fontId="6" fillId="15" borderId="8" xfId="0" applyFont="1" applyFill="1" applyBorder="1" applyAlignment="1">
      <alignment horizontal="left"/>
    </xf>
    <xf numFmtId="44" fontId="6" fillId="15" borderId="8" xfId="0" applyNumberFormat="1" applyFont="1" applyFill="1" applyBorder="1" applyAlignment="1">
      <alignment horizontal="right"/>
    </xf>
    <xf numFmtId="0" fontId="6" fillId="15" borderId="8" xfId="0" applyFont="1" applyFill="1" applyBorder="1"/>
    <xf numFmtId="0" fontId="17" fillId="9" borderId="0" xfId="0" applyFont="1" applyFill="1"/>
    <xf numFmtId="0" fontId="17" fillId="9" borderId="0" xfId="0" applyFont="1" applyFill="1" applyAlignment="1">
      <alignment horizontal="left"/>
    </xf>
    <xf numFmtId="0" fontId="12" fillId="9" borderId="0" xfId="0" applyFont="1" applyFill="1" applyAlignment="1">
      <alignment horizontal="left"/>
    </xf>
    <xf numFmtId="0" fontId="6" fillId="0" borderId="0" xfId="0" applyFont="1"/>
    <xf numFmtId="44" fontId="0" fillId="14" borderId="0" xfId="8" applyFont="1" applyFill="1"/>
    <xf numFmtId="44" fontId="0" fillId="0" borderId="0" xfId="0" applyNumberFormat="1"/>
    <xf numFmtId="0" fontId="12" fillId="9" borderId="0" xfId="0" applyFont="1" applyFill="1" applyAlignment="1">
      <alignment horizontal="right"/>
    </xf>
    <xf numFmtId="44" fontId="12" fillId="9" borderId="0" xfId="0" applyNumberFormat="1" applyFont="1" applyFill="1" applyAlignment="1">
      <alignment horizontal="right"/>
    </xf>
    <xf numFmtId="44" fontId="5" fillId="14" borderId="0" xfId="8" applyFont="1" applyFill="1"/>
    <xf numFmtId="165" fontId="5" fillId="0" borderId="0" xfId="0" applyNumberFormat="1" applyFont="1"/>
    <xf numFmtId="169" fontId="18" fillId="0" borderId="0" xfId="1" applyNumberFormat="1" applyFont="1" applyBorder="1" applyAlignment="1">
      <alignment horizontal="left" vertical="center"/>
    </xf>
    <xf numFmtId="44" fontId="14" fillId="4" borderId="8" xfId="1" applyNumberFormat="1" applyFont="1" applyFill="1" applyBorder="1"/>
    <xf numFmtId="165" fontId="5" fillId="0" borderId="8" xfId="0" applyNumberFormat="1" applyFont="1" applyBorder="1"/>
    <xf numFmtId="165" fontId="0" fillId="0" borderId="8" xfId="0" applyNumberFormat="1" applyBorder="1"/>
    <xf numFmtId="44" fontId="13" fillId="17" borderId="2" xfId="6" applyNumberFormat="1" applyFont="1" applyFill="1" applyBorder="1" applyAlignment="1">
      <alignment horizontal="right"/>
    </xf>
    <xf numFmtId="165" fontId="0" fillId="0" borderId="0" xfId="0" applyNumberFormat="1"/>
    <xf numFmtId="0" fontId="5" fillId="7" borderId="8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44" fontId="6" fillId="7" borderId="8" xfId="0" applyNumberFormat="1" applyFont="1" applyFill="1" applyBorder="1" applyAlignment="1">
      <alignment horizontal="right"/>
    </xf>
    <xf numFmtId="0" fontId="6" fillId="7" borderId="8" xfId="0" applyFont="1" applyFill="1" applyBorder="1"/>
    <xf numFmtId="0" fontId="11" fillId="9" borderId="8" xfId="0" applyFont="1" applyFill="1" applyBorder="1" applyAlignment="1">
      <alignment horizontal="left"/>
    </xf>
    <xf numFmtId="44" fontId="10" fillId="9" borderId="8" xfId="0" applyNumberFormat="1" applyFont="1" applyFill="1" applyBorder="1" applyAlignment="1">
      <alignment horizontal="left"/>
    </xf>
    <xf numFmtId="0" fontId="13" fillId="3" borderId="0" xfId="1" applyNumberFormat="1" applyFont="1" applyFill="1" applyBorder="1" applyAlignment="1">
      <alignment horizontal="center" vertical="center"/>
    </xf>
    <xf numFmtId="166" fontId="13" fillId="3" borderId="0" xfId="1" applyNumberFormat="1" applyFont="1" applyFill="1" applyBorder="1" applyAlignment="1">
      <alignment horizontal="center" vertical="center"/>
    </xf>
    <xf numFmtId="169" fontId="19" fillId="0" borderId="0" xfId="1" applyNumberFormat="1" applyFont="1" applyBorder="1" applyAlignment="1">
      <alignment horizontal="left" vertical="center"/>
    </xf>
    <xf numFmtId="0" fontId="13" fillId="0" borderId="0" xfId="1" applyNumberFormat="1" applyFont="1" applyBorder="1" applyAlignment="1">
      <alignment horizontal="center" vertical="center"/>
    </xf>
    <xf numFmtId="166" fontId="13" fillId="0" borderId="0" xfId="1" applyNumberFormat="1" applyFont="1" applyBorder="1" applyAlignment="1">
      <alignment horizontal="center" vertical="center"/>
    </xf>
    <xf numFmtId="0" fontId="14" fillId="0" borderId="8" xfId="7" applyNumberFormat="1" applyFont="1" applyBorder="1" applyAlignment="1">
      <alignment horizontal="center"/>
    </xf>
    <xf numFmtId="166" fontId="14" fillId="0" borderId="8" xfId="7" applyFont="1" applyBorder="1" applyAlignment="1">
      <alignment horizontal="center"/>
    </xf>
    <xf numFmtId="0" fontId="13" fillId="0" borderId="0" xfId="5" applyNumberFormat="1" applyFont="1" applyAlignment="1">
      <alignment horizontal="center"/>
    </xf>
    <xf numFmtId="15" fontId="13" fillId="0" borderId="0" xfId="5" applyNumberFormat="1" applyFont="1" applyAlignment="1">
      <alignment horizontal="center"/>
    </xf>
    <xf numFmtId="44" fontId="13" fillId="17" borderId="0" xfId="6" applyNumberFormat="1" applyFont="1" applyFill="1" applyBorder="1" applyAlignment="1">
      <alignment horizontal="right"/>
    </xf>
    <xf numFmtId="166" fontId="14" fillId="4" borderId="8" xfId="7" applyFont="1" applyFill="1" applyBorder="1" applyAlignment="1">
      <alignment horizontal="left"/>
    </xf>
    <xf numFmtId="0" fontId="14" fillId="4" borderId="8" xfId="0" applyFont="1" applyFill="1" applyBorder="1" applyAlignment="1">
      <alignment horizontal="left" vertical="center"/>
    </xf>
    <xf numFmtId="0" fontId="5" fillId="16" borderId="8" xfId="0" applyFont="1" applyFill="1" applyBorder="1" applyAlignment="1">
      <alignment horizontal="left"/>
    </xf>
    <xf numFmtId="0" fontId="6" fillId="16" borderId="8" xfId="0" applyFont="1" applyFill="1" applyBorder="1" applyAlignment="1">
      <alignment horizontal="left"/>
    </xf>
    <xf numFmtId="44" fontId="6" fillId="16" borderId="8" xfId="0" applyNumberFormat="1" applyFont="1" applyFill="1" applyBorder="1" applyAlignment="1">
      <alignment horizontal="right"/>
    </xf>
    <xf numFmtId="0" fontId="6" fillId="16" borderId="8" xfId="0" applyFont="1" applyFill="1" applyBorder="1"/>
    <xf numFmtId="0" fontId="6" fillId="16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0" fillId="0" borderId="0" xfId="0" applyNumberFormat="1" applyFont="1"/>
    <xf numFmtId="14" fontId="5" fillId="0" borderId="0" xfId="0" applyNumberFormat="1" applyFont="1"/>
    <xf numFmtId="0" fontId="5" fillId="5" borderId="8" xfId="0" applyFont="1" applyFill="1" applyBorder="1" applyAlignment="1">
      <alignment horizontal="center" vertical="center"/>
    </xf>
    <xf numFmtId="44" fontId="5" fillId="18" borderId="0" xfId="0" applyNumberFormat="1" applyFont="1" applyFill="1"/>
    <xf numFmtId="0" fontId="14" fillId="4" borderId="8" xfId="7" applyNumberFormat="1" applyFont="1" applyFill="1" applyBorder="1" applyAlignment="1">
      <alignment horizontal="center"/>
    </xf>
    <xf numFmtId="168" fontId="5" fillId="19" borderId="0" xfId="0" applyNumberFormat="1" applyFont="1" applyFill="1"/>
    <xf numFmtId="43" fontId="0" fillId="0" borderId="0" xfId="0" applyNumberFormat="1"/>
    <xf numFmtId="0" fontId="0" fillId="0" borderId="0" xfId="0" applyAlignment="1">
      <alignment horizontal="right"/>
    </xf>
    <xf numFmtId="0" fontId="0" fillId="17" borderId="0" xfId="0" applyFill="1"/>
    <xf numFmtId="43" fontId="0" fillId="17" borderId="0" xfId="9" applyFont="1" applyFill="1"/>
    <xf numFmtId="43" fontId="0" fillId="0" borderId="0" xfId="9" applyFont="1"/>
    <xf numFmtId="14" fontId="0" fillId="0" borderId="0" xfId="0" applyNumberFormat="1"/>
    <xf numFmtId="166" fontId="14" fillId="14" borderId="8" xfId="7" applyFont="1" applyFill="1" applyBorder="1" applyAlignment="1">
      <alignment horizontal="left"/>
    </xf>
    <xf numFmtId="0" fontId="14" fillId="14" borderId="8" xfId="0" applyFont="1" applyFill="1" applyBorder="1" applyAlignment="1">
      <alignment horizontal="left" vertical="center"/>
    </xf>
    <xf numFmtId="44" fontId="14" fillId="14" borderId="8" xfId="1" applyNumberFormat="1" applyFont="1" applyFill="1" applyBorder="1"/>
  </cellXfs>
  <cellStyles count="10">
    <cellStyle name="Millares" xfId="9" builtinId="3"/>
    <cellStyle name="Millares 12" xfId="1" xr:uid="{7FD38654-2A55-4FB8-9F13-5E51E5B24F6C}"/>
    <cellStyle name="Millares 2" xfId="6" xr:uid="{B11A04E0-E669-4BAE-A055-051CAC1B23A7}"/>
    <cellStyle name="Moneda" xfId="8" builtinId="4"/>
    <cellStyle name="Normal" xfId="0" builtinId="0"/>
    <cellStyle name="Normal 2" xfId="5" xr:uid="{27D45F05-47D6-45E8-937F-57373A0CC114}"/>
    <cellStyle name="Normal 3" xfId="2" xr:uid="{C18C233A-82F8-4D0D-B54D-F1E994948CE9}"/>
    <cellStyle name="Normal 3 11 7" xfId="4" xr:uid="{FB804CA9-584A-462F-B752-F78F5A60BAFD}"/>
    <cellStyle name="Normal 86" xfId="3" xr:uid="{F93A8BD4-52AC-4BE4-BD86-2051C9AA879B}"/>
    <cellStyle name="Porcentual_$633356717967343750_CXP MONTE II URBANIZACION 26 JUN 10" xfId="7" xr:uid="{BCE08695-731F-445A-B1A2-506EDEFEFAEC}"/>
  </cellStyles>
  <dxfs count="217"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9FF99"/>
      <color rgb="FFAFFFAF"/>
      <color rgb="FFCCCCFF"/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41957-5BA6-444D-98B4-C2E1B59943AC}">
  <dimension ref="A1:H88"/>
  <sheetViews>
    <sheetView showGridLines="0" zoomScale="80" zoomScaleNormal="80" workbookViewId="0">
      <pane ySplit="1" topLeftCell="A2" activePane="bottomLeft" state="frozen"/>
      <selection pane="bottomLeft" activeCell="F99" sqref="F99"/>
    </sheetView>
  </sheetViews>
  <sheetFormatPr baseColWidth="10" defaultRowHeight="15" x14ac:dyDescent="0.25"/>
  <cols>
    <col min="1" max="1" width="27.140625" bestFit="1" customWidth="1"/>
    <col min="2" max="2" width="35.140625" bestFit="1" customWidth="1"/>
    <col min="3" max="3" width="23" customWidth="1"/>
    <col min="4" max="4" width="8.85546875" bestFit="1" customWidth="1"/>
    <col min="5" max="5" width="27.42578125" bestFit="1" customWidth="1"/>
    <col min="6" max="6" width="13.140625" customWidth="1"/>
    <col min="7" max="7" width="5.7109375" bestFit="1" customWidth="1"/>
  </cols>
  <sheetData>
    <row r="1" spans="1:8" ht="13.5" customHeight="1" thickBot="1" x14ac:dyDescent="0.3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</row>
    <row r="2" spans="1:8" x14ac:dyDescent="0.25">
      <c r="A2" s="4"/>
      <c r="B2" s="4"/>
      <c r="C2" s="5"/>
      <c r="D2" s="3"/>
      <c r="E2" s="3"/>
      <c r="F2" s="3"/>
      <c r="G2" s="3"/>
      <c r="H2" s="3"/>
    </row>
    <row r="3" spans="1:8" x14ac:dyDescent="0.25">
      <c r="A3" s="4"/>
      <c r="B3" s="4"/>
      <c r="C3" s="6"/>
      <c r="D3" s="3"/>
      <c r="E3" s="3"/>
      <c r="F3" s="3"/>
      <c r="G3" s="3"/>
      <c r="H3" s="3"/>
    </row>
    <row r="4" spans="1:8" x14ac:dyDescent="0.25">
      <c r="A4" s="7" t="s">
        <v>6</v>
      </c>
      <c r="B4" s="4"/>
      <c r="C4" s="5"/>
      <c r="D4" s="3"/>
      <c r="E4" s="3"/>
      <c r="F4" s="3"/>
      <c r="G4" s="3"/>
      <c r="H4" s="3"/>
    </row>
    <row r="5" spans="1:8" x14ac:dyDescent="0.25">
      <c r="A5" s="7"/>
      <c r="B5" s="4" t="s">
        <v>6</v>
      </c>
      <c r="C5" s="8">
        <f>SUMIF(DOI!E:E,B5,DOI!O:O)</f>
        <v>0</v>
      </c>
      <c r="D5" s="3"/>
      <c r="E5" s="13" t="s">
        <v>6</v>
      </c>
      <c r="F5" s="9">
        <f>G5+0.02</f>
        <v>1.1400000000000001</v>
      </c>
      <c r="G5" s="9">
        <v>1.1200000000000001</v>
      </c>
      <c r="H5" s="3"/>
    </row>
    <row r="6" spans="1:8" x14ac:dyDescent="0.25">
      <c r="A6" s="7"/>
      <c r="B6" s="4" t="s">
        <v>7</v>
      </c>
      <c r="C6" s="8">
        <f>SUMIF(DOI!E:E,B6,DOI!O:O)</f>
        <v>0</v>
      </c>
      <c r="D6" s="3"/>
      <c r="E6" s="13" t="s">
        <v>6</v>
      </c>
      <c r="F6" s="9">
        <f t="shared" ref="F6:F27" si="0">G6+0.02</f>
        <v>1.1400000000000001</v>
      </c>
      <c r="G6" s="9">
        <v>1.1200000000000001</v>
      </c>
      <c r="H6" s="3"/>
    </row>
    <row r="7" spans="1:8" x14ac:dyDescent="0.25">
      <c r="A7" s="7"/>
      <c r="B7" s="4" t="s">
        <v>8</v>
      </c>
      <c r="C7" s="8">
        <f>SUMIF(DOI!E:E,B7,DOI!O:O)</f>
        <v>0</v>
      </c>
      <c r="D7" s="3"/>
      <c r="E7" s="13" t="s">
        <v>6</v>
      </c>
      <c r="F7" s="9">
        <f t="shared" si="0"/>
        <v>1.1400000000000001</v>
      </c>
      <c r="G7" s="9">
        <v>1.1200000000000001</v>
      </c>
      <c r="H7" s="3"/>
    </row>
    <row r="8" spans="1:8" x14ac:dyDescent="0.25">
      <c r="A8" s="7"/>
      <c r="B8" s="4" t="s">
        <v>9</v>
      </c>
      <c r="C8" s="8">
        <f>SUMIF(DOI!E:E,B8,DOI!O:O)</f>
        <v>0</v>
      </c>
      <c r="D8" s="3"/>
      <c r="E8" s="13" t="s">
        <v>6</v>
      </c>
      <c r="F8" s="9">
        <f t="shared" si="0"/>
        <v>1.1400000000000001</v>
      </c>
      <c r="G8" s="9">
        <v>1.1200000000000001</v>
      </c>
      <c r="H8" s="3"/>
    </row>
    <row r="9" spans="1:8" x14ac:dyDescent="0.25">
      <c r="A9" s="7"/>
      <c r="B9" s="4" t="s">
        <v>10</v>
      </c>
      <c r="C9" s="8">
        <f>SUMIF(DOI!E:E,B9,DOI!O:O)</f>
        <v>0</v>
      </c>
      <c r="D9" s="3"/>
      <c r="E9" s="13" t="s">
        <v>6</v>
      </c>
      <c r="F9" s="9">
        <f t="shared" si="0"/>
        <v>1.1400000000000001</v>
      </c>
      <c r="G9" s="9">
        <v>1.1200000000000001</v>
      </c>
      <c r="H9" s="3"/>
    </row>
    <row r="10" spans="1:8" x14ac:dyDescent="0.25">
      <c r="A10" s="7"/>
      <c r="B10" s="4" t="s">
        <v>11</v>
      </c>
      <c r="C10" s="8">
        <f>SUMIF(DOI!E:E,B10,DOI!O:O)</f>
        <v>0</v>
      </c>
      <c r="D10" s="3"/>
      <c r="E10" s="13" t="s">
        <v>6</v>
      </c>
      <c r="F10" s="9">
        <f t="shared" si="0"/>
        <v>1.1400000000000001</v>
      </c>
      <c r="G10" s="9">
        <v>1.1200000000000001</v>
      </c>
      <c r="H10" s="3"/>
    </row>
    <row r="11" spans="1:8" x14ac:dyDescent="0.25">
      <c r="A11" s="7"/>
      <c r="B11" s="4" t="s">
        <v>12</v>
      </c>
      <c r="C11" s="8">
        <f>SUMIF(DOI!E:E,B11,DOI!O:O)</f>
        <v>0</v>
      </c>
      <c r="D11" s="3"/>
      <c r="E11" s="13" t="s">
        <v>6</v>
      </c>
      <c r="F11" s="9">
        <f t="shared" ref="F11" si="1">G11+0.02</f>
        <v>1.1400000000000001</v>
      </c>
      <c r="G11" s="9">
        <v>1.1200000000000001</v>
      </c>
      <c r="H11" s="3"/>
    </row>
    <row r="12" spans="1:8" x14ac:dyDescent="0.25">
      <c r="A12" s="7"/>
      <c r="B12" s="4" t="s">
        <v>335</v>
      </c>
      <c r="C12" s="8">
        <f>SUMIF(DOI!E:E,B12,DOI!O:O)</f>
        <v>0</v>
      </c>
      <c r="D12" s="3"/>
      <c r="E12" s="13" t="s">
        <v>6</v>
      </c>
      <c r="F12" s="9">
        <f t="shared" si="0"/>
        <v>1.1400000000000001</v>
      </c>
      <c r="G12" s="9">
        <v>1.1200000000000001</v>
      </c>
      <c r="H12" s="3"/>
    </row>
    <row r="13" spans="1:8" x14ac:dyDescent="0.25">
      <c r="A13" s="7"/>
      <c r="B13" s="4" t="s">
        <v>13</v>
      </c>
      <c r="C13" s="8">
        <f>SUMIF(DOI!E:E,B13,DOI!O:O)</f>
        <v>0</v>
      </c>
      <c r="D13" s="3"/>
      <c r="E13" s="13" t="s">
        <v>6</v>
      </c>
      <c r="F13" s="9">
        <f t="shared" si="0"/>
        <v>1.1400000000000001</v>
      </c>
      <c r="G13" s="9">
        <v>1.1200000000000001</v>
      </c>
      <c r="H13" s="3"/>
    </row>
    <row r="14" spans="1:8" x14ac:dyDescent="0.25">
      <c r="A14" s="7"/>
      <c r="B14" s="4" t="s">
        <v>14</v>
      </c>
      <c r="C14" s="8">
        <f>SUMIF(DOI!E:E,B14,DOI!O:O)</f>
        <v>0</v>
      </c>
      <c r="D14" s="3"/>
      <c r="E14" s="13" t="s">
        <v>6</v>
      </c>
      <c r="F14" s="9">
        <f t="shared" si="0"/>
        <v>1.1400000000000001</v>
      </c>
      <c r="G14" s="9">
        <v>1.1200000000000001</v>
      </c>
      <c r="H14" s="3"/>
    </row>
    <row r="15" spans="1:8" x14ac:dyDescent="0.25">
      <c r="A15" s="7"/>
      <c r="B15" s="4" t="s">
        <v>15</v>
      </c>
      <c r="C15" s="8">
        <f>SUMIF(DOI!E:E,B15,DOI!O:O)</f>
        <v>0</v>
      </c>
      <c r="D15" s="3"/>
      <c r="E15" s="13" t="s">
        <v>6</v>
      </c>
      <c r="F15" s="9">
        <f t="shared" si="0"/>
        <v>1.1400000000000001</v>
      </c>
      <c r="G15" s="9">
        <v>1.1200000000000001</v>
      </c>
      <c r="H15" s="3"/>
    </row>
    <row r="16" spans="1:8" x14ac:dyDescent="0.25">
      <c r="A16" s="7"/>
      <c r="B16" s="4" t="s">
        <v>16</v>
      </c>
      <c r="C16" s="8">
        <f>SUMIF(DOI!E:E,B16,DOI!O:O)</f>
        <v>0</v>
      </c>
      <c r="D16" s="3"/>
      <c r="E16" s="13" t="s">
        <v>6</v>
      </c>
      <c r="F16" s="9">
        <f t="shared" si="0"/>
        <v>1.1400000000000001</v>
      </c>
      <c r="G16" s="9">
        <v>1.1200000000000001</v>
      </c>
      <c r="H16" s="3"/>
    </row>
    <row r="17" spans="1:8" x14ac:dyDescent="0.25">
      <c r="A17" s="7"/>
      <c r="B17" s="4" t="s">
        <v>17</v>
      </c>
      <c r="C17" s="8">
        <f>SUMIF(DOI!E:E,B17,DOI!O:O)</f>
        <v>0</v>
      </c>
      <c r="D17" s="3"/>
      <c r="E17" s="13" t="s">
        <v>6</v>
      </c>
      <c r="F17" s="9">
        <f t="shared" si="0"/>
        <v>1.1400000000000001</v>
      </c>
      <c r="G17" s="9">
        <v>1.1200000000000001</v>
      </c>
      <c r="H17" s="3"/>
    </row>
    <row r="18" spans="1:8" x14ac:dyDescent="0.25">
      <c r="A18" s="7"/>
      <c r="B18" s="4" t="s">
        <v>18</v>
      </c>
      <c r="C18" s="8">
        <f>SUMIF(DOI!E:E,B18,DOI!O:O)</f>
        <v>0</v>
      </c>
      <c r="D18" s="3"/>
      <c r="E18" s="13" t="s">
        <v>6</v>
      </c>
      <c r="F18" s="9">
        <f>G18+0.02</f>
        <v>1.1400000000000001</v>
      </c>
      <c r="G18" s="9">
        <v>1.1200000000000001</v>
      </c>
      <c r="H18" s="3"/>
    </row>
    <row r="19" spans="1:8" x14ac:dyDescent="0.25">
      <c r="A19" s="7"/>
      <c r="B19" s="4" t="s">
        <v>19</v>
      </c>
      <c r="C19" s="8">
        <f>SUMIF(DOI!E:E,B19,DOI!O:O)</f>
        <v>0</v>
      </c>
      <c r="D19" s="3"/>
      <c r="E19" s="13" t="s">
        <v>6</v>
      </c>
      <c r="F19" s="9">
        <f>G19+0.02</f>
        <v>1.1400000000000001</v>
      </c>
      <c r="G19" s="9">
        <v>1.1200000000000001</v>
      </c>
      <c r="H19" s="3"/>
    </row>
    <row r="20" spans="1:8" x14ac:dyDescent="0.25">
      <c r="A20" s="7"/>
      <c r="B20" s="4" t="s">
        <v>20</v>
      </c>
      <c r="C20" s="8">
        <f>SUMIF(DOI!E:E,B20,DOI!O:O)</f>
        <v>87641.74984875982</v>
      </c>
      <c r="D20" s="3"/>
      <c r="E20" s="13" t="s">
        <v>6</v>
      </c>
      <c r="F20" s="9">
        <f>G20+0.02</f>
        <v>1.1400000000000001</v>
      </c>
      <c r="G20" s="9">
        <v>1.1200000000000001</v>
      </c>
      <c r="H20" s="3"/>
    </row>
    <row r="21" spans="1:8" x14ac:dyDescent="0.25">
      <c r="A21" s="7"/>
      <c r="B21" s="4" t="s">
        <v>21</v>
      </c>
      <c r="C21" s="8">
        <f>SUMIF(DOI!E:E,B21,DOI!O:O)</f>
        <v>0</v>
      </c>
      <c r="D21" s="3"/>
      <c r="E21" s="13" t="s">
        <v>6</v>
      </c>
      <c r="F21" s="9">
        <f t="shared" si="0"/>
        <v>1.1400000000000001</v>
      </c>
      <c r="G21" s="9">
        <v>1.1200000000000001</v>
      </c>
      <c r="H21" s="3"/>
    </row>
    <row r="22" spans="1:8" x14ac:dyDescent="0.25">
      <c r="A22" s="7"/>
      <c r="B22" s="4" t="s">
        <v>22</v>
      </c>
      <c r="C22" s="8">
        <f>SUMIF(DOI!E:E,B22,DOI!O:O)</f>
        <v>2450816.9464609795</v>
      </c>
      <c r="D22" s="3"/>
      <c r="E22" s="13" t="s">
        <v>6</v>
      </c>
      <c r="F22" s="9">
        <f t="shared" si="0"/>
        <v>1.1400000000000001</v>
      </c>
      <c r="G22" s="9">
        <v>1.1200000000000001</v>
      </c>
      <c r="H22" s="3"/>
    </row>
    <row r="23" spans="1:8" x14ac:dyDescent="0.25">
      <c r="A23" s="7"/>
      <c r="B23" s="4" t="s">
        <v>23</v>
      </c>
      <c r="C23" s="8">
        <f>SUMIF(DOI!E:E,B23,DOI!O:O)</f>
        <v>0</v>
      </c>
      <c r="D23" s="3"/>
      <c r="E23" s="13" t="s">
        <v>6</v>
      </c>
      <c r="F23" s="9">
        <f t="shared" si="0"/>
        <v>1.1400000000000001</v>
      </c>
      <c r="G23" s="9">
        <v>1.1200000000000001</v>
      </c>
      <c r="H23" s="3"/>
    </row>
    <row r="24" spans="1:8" x14ac:dyDescent="0.25">
      <c r="A24" s="7"/>
      <c r="B24" s="4" t="s">
        <v>24</v>
      </c>
      <c r="C24" s="8">
        <f>SUMIF(DOI!E:E,B24,DOI!O:O)</f>
        <v>0</v>
      </c>
      <c r="D24" s="3"/>
      <c r="E24" s="13" t="s">
        <v>6</v>
      </c>
      <c r="F24" s="9">
        <f t="shared" si="0"/>
        <v>1.1400000000000001</v>
      </c>
      <c r="G24" s="9">
        <v>1.1200000000000001</v>
      </c>
      <c r="H24" s="3"/>
    </row>
    <row r="25" spans="1:8" x14ac:dyDescent="0.25">
      <c r="A25" s="7"/>
      <c r="B25" s="4" t="s">
        <v>25</v>
      </c>
      <c r="C25" s="8">
        <f>SUMIF(DOI!E:E,B25,DOI!O:O)</f>
        <v>0</v>
      </c>
      <c r="D25" s="3"/>
      <c r="E25" s="13" t="s">
        <v>6</v>
      </c>
      <c r="F25" s="9">
        <f t="shared" si="0"/>
        <v>1.1400000000000001</v>
      </c>
      <c r="G25" s="9">
        <v>1.1200000000000001</v>
      </c>
      <c r="H25" s="3"/>
    </row>
    <row r="26" spans="1:8" x14ac:dyDescent="0.25">
      <c r="A26" s="7"/>
      <c r="B26" s="4" t="s">
        <v>26</v>
      </c>
      <c r="C26" s="8">
        <f>SUMIF(DOI!E:E,B26,DOI!O:O)</f>
        <v>265549.87144585606</v>
      </c>
      <c r="D26" s="3"/>
      <c r="E26" s="13" t="s">
        <v>6</v>
      </c>
      <c r="F26" s="9">
        <f t="shared" ref="F26" si="2">G26+0.02</f>
        <v>1.1400000000000001</v>
      </c>
      <c r="G26" s="9">
        <v>1.1200000000000001</v>
      </c>
      <c r="H26" s="3"/>
    </row>
    <row r="27" spans="1:8" x14ac:dyDescent="0.25">
      <c r="A27" s="7"/>
      <c r="B27" s="4" t="s">
        <v>353</v>
      </c>
      <c r="C27" s="8">
        <f>SUMIF(DOI!E:E,B27,DOI!O:O)</f>
        <v>6007217.1733212341</v>
      </c>
      <c r="D27" s="3"/>
      <c r="E27" s="13" t="s">
        <v>6</v>
      </c>
      <c r="F27" s="9">
        <f t="shared" si="0"/>
        <v>1.1400000000000001</v>
      </c>
      <c r="G27" s="9">
        <v>1.1200000000000001</v>
      </c>
      <c r="H27" s="3"/>
    </row>
    <row r="28" spans="1:8" x14ac:dyDescent="0.25">
      <c r="A28" s="10"/>
      <c r="B28" s="11" t="s">
        <v>4</v>
      </c>
      <c r="C28" s="12">
        <f>SUBTOTAL(9,C4:C27)</f>
        <v>8811225.7410768289</v>
      </c>
      <c r="D28" s="4" t="s">
        <v>5</v>
      </c>
      <c r="E28" s="3"/>
      <c r="F28" s="3"/>
      <c r="G28" s="3"/>
      <c r="H28" s="3"/>
    </row>
    <row r="29" spans="1:8" x14ac:dyDescent="0.25">
      <c r="A29" s="4"/>
      <c r="B29" s="4"/>
      <c r="C29" s="6"/>
      <c r="D29" s="3"/>
      <c r="E29" s="3"/>
      <c r="F29" s="3"/>
      <c r="G29" s="3"/>
      <c r="H29" s="3"/>
    </row>
    <row r="30" spans="1:8" x14ac:dyDescent="0.25">
      <c r="A30" s="4"/>
      <c r="B30" s="4"/>
      <c r="C30" s="6"/>
      <c r="D30" s="3"/>
      <c r="E30" s="3"/>
      <c r="F30" s="3"/>
      <c r="G30" s="3"/>
      <c r="H30" s="3"/>
    </row>
    <row r="31" spans="1:8" x14ac:dyDescent="0.25">
      <c r="A31" s="7" t="s">
        <v>31</v>
      </c>
      <c r="B31" s="4"/>
      <c r="C31" s="6"/>
      <c r="D31" s="3"/>
      <c r="E31" s="3"/>
      <c r="F31" s="3"/>
      <c r="G31" s="3"/>
      <c r="H31" s="3"/>
    </row>
    <row r="32" spans="1:8" x14ac:dyDescent="0.25">
      <c r="A32" s="7"/>
      <c r="B32" s="4" t="s">
        <v>32</v>
      </c>
      <c r="C32" s="8">
        <f>SUMIF(DOI!E:E,B32,DOI!O:O)</f>
        <v>0</v>
      </c>
      <c r="D32" s="3"/>
      <c r="E32" s="13" t="s">
        <v>31</v>
      </c>
      <c r="F32" s="9">
        <f t="shared" ref="F32:F58" si="3">G32+0.02</f>
        <v>1.1400000000000001</v>
      </c>
      <c r="G32" s="9">
        <v>1.1200000000000001</v>
      </c>
      <c r="H32" s="3"/>
    </row>
    <row r="33" spans="1:8" x14ac:dyDescent="0.25">
      <c r="A33" s="7"/>
      <c r="B33" s="4" t="s">
        <v>33</v>
      </c>
      <c r="C33" s="8">
        <f>SUMIF(DOI!E:E,B33,DOI!O:O)</f>
        <v>0</v>
      </c>
      <c r="D33" s="3"/>
      <c r="E33" s="13" t="s">
        <v>31</v>
      </c>
      <c r="F33" s="9">
        <f t="shared" si="3"/>
        <v>1.1400000000000001</v>
      </c>
      <c r="G33" s="9">
        <v>1.1200000000000001</v>
      </c>
      <c r="H33" s="3"/>
    </row>
    <row r="34" spans="1:8" x14ac:dyDescent="0.25">
      <c r="A34" s="7"/>
      <c r="B34" s="4" t="s">
        <v>34</v>
      </c>
      <c r="C34" s="8">
        <f>SUMIF(DOI!E:E,B34,DOI!O:O)</f>
        <v>0</v>
      </c>
      <c r="D34" s="3"/>
      <c r="E34" s="13" t="s">
        <v>31</v>
      </c>
      <c r="F34" s="9">
        <f t="shared" si="3"/>
        <v>1.1400000000000001</v>
      </c>
      <c r="G34" s="9">
        <v>1.1200000000000001</v>
      </c>
      <c r="H34" s="3"/>
    </row>
    <row r="35" spans="1:8" x14ac:dyDescent="0.25">
      <c r="A35" s="7"/>
      <c r="B35" s="4" t="s">
        <v>35</v>
      </c>
      <c r="C35" s="8">
        <f>SUMIF(DOI!E:E,B35,DOI!O:O)</f>
        <v>0</v>
      </c>
      <c r="D35" s="3"/>
      <c r="E35" s="13" t="s">
        <v>31</v>
      </c>
      <c r="F35" s="9">
        <f t="shared" si="3"/>
        <v>1.1400000000000001</v>
      </c>
      <c r="G35" s="9">
        <v>1.1200000000000001</v>
      </c>
      <c r="H35" s="3"/>
    </row>
    <row r="36" spans="1:8" x14ac:dyDescent="0.25">
      <c r="A36" s="7"/>
      <c r="B36" s="4" t="s">
        <v>36</v>
      </c>
      <c r="C36" s="8">
        <f>SUMIF(DOI!E:E,B36,DOI!O:O)</f>
        <v>0</v>
      </c>
      <c r="D36" s="3"/>
      <c r="E36" s="13" t="s">
        <v>31</v>
      </c>
      <c r="F36" s="9">
        <f t="shared" si="3"/>
        <v>1.1400000000000001</v>
      </c>
      <c r="G36" s="9">
        <v>1.1200000000000001</v>
      </c>
      <c r="H36" s="3"/>
    </row>
    <row r="37" spans="1:8" x14ac:dyDescent="0.25">
      <c r="A37" s="7"/>
      <c r="B37" s="4" t="s">
        <v>37</v>
      </c>
      <c r="C37" s="8">
        <f>SUMIF(DOI!E:E,B37,DOI!O:O)</f>
        <v>0</v>
      </c>
      <c r="D37" s="3"/>
      <c r="E37" s="13" t="s">
        <v>31</v>
      </c>
      <c r="F37" s="9">
        <f t="shared" si="3"/>
        <v>1.1400000000000001</v>
      </c>
      <c r="G37" s="9">
        <v>1.1200000000000001</v>
      </c>
      <c r="H37" s="3"/>
    </row>
    <row r="38" spans="1:8" x14ac:dyDescent="0.25">
      <c r="A38" s="7"/>
      <c r="B38" s="4" t="s">
        <v>38</v>
      </c>
      <c r="C38" s="8">
        <f>SUMIF(DOI!E:E,B38,DOI!O:O)</f>
        <v>0</v>
      </c>
      <c r="D38" s="3"/>
      <c r="E38" s="13" t="s">
        <v>31</v>
      </c>
      <c r="F38" s="9">
        <f t="shared" si="3"/>
        <v>1.1400000000000001</v>
      </c>
      <c r="G38" s="9">
        <v>1.1200000000000001</v>
      </c>
      <c r="H38" s="3"/>
    </row>
    <row r="39" spans="1:8" x14ac:dyDescent="0.25">
      <c r="A39" s="7"/>
      <c r="B39" s="4" t="s">
        <v>39</v>
      </c>
      <c r="C39" s="8">
        <f>SUMIF(DOI!E:E,B39,DOI!O:O)</f>
        <v>0</v>
      </c>
      <c r="D39" s="3"/>
      <c r="E39" s="13" t="s">
        <v>31</v>
      </c>
      <c r="F39" s="9">
        <f t="shared" si="3"/>
        <v>1.1400000000000001</v>
      </c>
      <c r="G39" s="9">
        <v>1.1200000000000001</v>
      </c>
      <c r="H39" s="3"/>
    </row>
    <row r="40" spans="1:8" x14ac:dyDescent="0.25">
      <c r="A40" s="7"/>
      <c r="B40" s="4" t="s">
        <v>40</v>
      </c>
      <c r="C40" s="8">
        <f>SUMIF(DOI!E:E,B40,DOI!O:O)</f>
        <v>0</v>
      </c>
      <c r="D40" s="3"/>
      <c r="E40" s="13" t="s">
        <v>31</v>
      </c>
      <c r="F40" s="9">
        <f>G40+0.02</f>
        <v>1.1400000000000001</v>
      </c>
      <c r="G40" s="9">
        <v>1.1200000000000001</v>
      </c>
      <c r="H40" s="3"/>
    </row>
    <row r="41" spans="1:8" x14ac:dyDescent="0.25">
      <c r="A41" s="4"/>
      <c r="B41" s="4" t="s">
        <v>41</v>
      </c>
      <c r="C41" s="8">
        <f>SUMIF(DOI!E:E,B41,DOI!O:O)</f>
        <v>0</v>
      </c>
      <c r="D41" s="3"/>
      <c r="E41" s="13" t="s">
        <v>31</v>
      </c>
      <c r="F41" s="9">
        <f t="shared" si="3"/>
        <v>1.1400000000000001</v>
      </c>
      <c r="G41" s="9">
        <v>1.1200000000000001</v>
      </c>
      <c r="H41" s="3"/>
    </row>
    <row r="42" spans="1:8" x14ac:dyDescent="0.25">
      <c r="A42" s="7"/>
      <c r="B42" s="4" t="s">
        <v>42</v>
      </c>
      <c r="C42" s="8">
        <f>SUMIF(DOI!E:E,B42,DOI!O:O)</f>
        <v>0</v>
      </c>
      <c r="D42" s="3"/>
      <c r="E42" s="13" t="s">
        <v>31</v>
      </c>
      <c r="F42" s="9">
        <f t="shared" si="3"/>
        <v>1.1400000000000001</v>
      </c>
      <c r="G42" s="9">
        <v>1.1200000000000001</v>
      </c>
      <c r="H42" s="3"/>
    </row>
    <row r="43" spans="1:8" x14ac:dyDescent="0.25">
      <c r="A43" s="7"/>
      <c r="B43" s="4" t="s">
        <v>43</v>
      </c>
      <c r="C43" s="8">
        <f>SUMIF(DOI!E:E,B43,DOI!O:O)</f>
        <v>509055.75468844519</v>
      </c>
      <c r="D43" s="3"/>
      <c r="E43" s="13" t="s">
        <v>31</v>
      </c>
      <c r="F43" s="9">
        <f t="shared" si="3"/>
        <v>1.1400000000000001</v>
      </c>
      <c r="G43" s="9">
        <v>1.1200000000000001</v>
      </c>
      <c r="H43" s="3"/>
    </row>
    <row r="44" spans="1:8" x14ac:dyDescent="0.25">
      <c r="A44" s="7"/>
      <c r="B44" s="4" t="s">
        <v>44</v>
      </c>
      <c r="C44" s="8">
        <f>SUMIF(DOI!E:E,B44,DOI!O:O)</f>
        <v>0</v>
      </c>
      <c r="D44" s="3"/>
      <c r="E44" s="13" t="s">
        <v>31</v>
      </c>
      <c r="F44" s="9">
        <f t="shared" si="3"/>
        <v>1.1400000000000001</v>
      </c>
      <c r="G44" s="9">
        <v>1.1200000000000001</v>
      </c>
      <c r="H44" s="3"/>
    </row>
    <row r="45" spans="1:8" x14ac:dyDescent="0.25">
      <c r="A45" s="7"/>
      <c r="B45" s="4" t="s">
        <v>45</v>
      </c>
      <c r="C45" s="8">
        <f>SUMIF(DOI!E:E,B45,DOI!O:O)</f>
        <v>0</v>
      </c>
      <c r="D45" s="3"/>
      <c r="E45" s="13" t="s">
        <v>31</v>
      </c>
      <c r="F45" s="9">
        <f t="shared" si="3"/>
        <v>1.1400000000000001</v>
      </c>
      <c r="G45" s="9">
        <v>1.1200000000000001</v>
      </c>
      <c r="H45" s="3"/>
    </row>
    <row r="46" spans="1:8" x14ac:dyDescent="0.25">
      <c r="A46" s="7"/>
      <c r="B46" s="4" t="s">
        <v>46</v>
      </c>
      <c r="C46" s="8">
        <f>SUMIF(DOI!E:E,B46,DOI!O:O)</f>
        <v>0</v>
      </c>
      <c r="D46" s="3"/>
      <c r="E46" s="13" t="s">
        <v>31</v>
      </c>
      <c r="F46" s="9">
        <f t="shared" si="3"/>
        <v>1.1400000000000001</v>
      </c>
      <c r="G46" s="9">
        <v>1.1200000000000001</v>
      </c>
      <c r="H46" s="3"/>
    </row>
    <row r="47" spans="1:8" x14ac:dyDescent="0.25">
      <c r="A47" s="7"/>
      <c r="B47" s="4" t="s">
        <v>47</v>
      </c>
      <c r="C47" s="8">
        <f>SUMIF(DOI!E:E,B47,DOI!O:O)</f>
        <v>0</v>
      </c>
      <c r="D47" s="3"/>
      <c r="E47" s="13" t="s">
        <v>31</v>
      </c>
      <c r="F47" s="9">
        <f t="shared" si="3"/>
        <v>1.1400000000000001</v>
      </c>
      <c r="G47" s="9">
        <v>1.1200000000000001</v>
      </c>
      <c r="H47" s="3"/>
    </row>
    <row r="48" spans="1:8" x14ac:dyDescent="0.25">
      <c r="A48" s="7"/>
      <c r="B48" s="4" t="s">
        <v>48</v>
      </c>
      <c r="C48" s="8">
        <f>SUMIF(DOI!E:E,B48,DOI!O:O)</f>
        <v>0</v>
      </c>
      <c r="D48" s="3"/>
      <c r="E48" s="13" t="s">
        <v>31</v>
      </c>
      <c r="F48" s="9">
        <f t="shared" si="3"/>
        <v>1.1400000000000001</v>
      </c>
      <c r="G48" s="9">
        <v>1.1200000000000001</v>
      </c>
      <c r="H48" s="3"/>
    </row>
    <row r="49" spans="1:8" x14ac:dyDescent="0.25">
      <c r="A49" s="7"/>
      <c r="B49" s="4" t="s">
        <v>303</v>
      </c>
      <c r="C49" s="8">
        <f>SUMIF(DOI!E:E,B49,DOI!O:O)</f>
        <v>0</v>
      </c>
      <c r="D49" s="3"/>
      <c r="E49" s="13" t="s">
        <v>31</v>
      </c>
      <c r="F49" s="9">
        <f t="shared" si="3"/>
        <v>1.1400000000000001</v>
      </c>
      <c r="G49" s="9">
        <v>1.1200000000000001</v>
      </c>
      <c r="H49" s="3"/>
    </row>
    <row r="50" spans="1:8" x14ac:dyDescent="0.25">
      <c r="A50" s="7"/>
      <c r="B50" s="4" t="s">
        <v>49</v>
      </c>
      <c r="C50" s="8">
        <f>SUMIF(DOI!E:E,B50,DOI!O:O)</f>
        <v>0</v>
      </c>
      <c r="D50" s="3"/>
      <c r="E50" s="13" t="s">
        <v>31</v>
      </c>
      <c r="F50" s="9">
        <f t="shared" si="3"/>
        <v>1.1400000000000001</v>
      </c>
      <c r="G50" s="9">
        <v>1.1200000000000001</v>
      </c>
      <c r="H50" s="3"/>
    </row>
    <row r="51" spans="1:8" x14ac:dyDescent="0.25">
      <c r="A51" s="7"/>
      <c r="B51" s="4" t="s">
        <v>50</v>
      </c>
      <c r="C51" s="8">
        <f>SUMIF(DOI!E:E,B51,DOI!O:O)</f>
        <v>440608.4392014519</v>
      </c>
      <c r="D51" s="3"/>
      <c r="E51" s="13" t="s">
        <v>31</v>
      </c>
      <c r="F51" s="9">
        <f t="shared" si="3"/>
        <v>1.1400000000000001</v>
      </c>
      <c r="G51" s="9">
        <v>1.1200000000000001</v>
      </c>
      <c r="H51" s="3"/>
    </row>
    <row r="52" spans="1:8" x14ac:dyDescent="0.25">
      <c r="A52" s="7"/>
      <c r="B52" s="4" t="s">
        <v>51</v>
      </c>
      <c r="C52" s="8">
        <f>SUMIF(DOI!E:E,B52,DOI!O:O)</f>
        <v>116390.73653962491</v>
      </c>
      <c r="D52" s="3"/>
      <c r="E52" s="13" t="s">
        <v>31</v>
      </c>
      <c r="F52" s="9">
        <f t="shared" si="3"/>
        <v>1.1400000000000001</v>
      </c>
      <c r="G52" s="9">
        <v>1.1200000000000001</v>
      </c>
      <c r="H52" s="3"/>
    </row>
    <row r="53" spans="1:8" x14ac:dyDescent="0.25">
      <c r="A53" s="7"/>
      <c r="B53" s="4" t="s">
        <v>52</v>
      </c>
      <c r="C53" s="8">
        <f>SUMIF(DOI!E:E,B53,DOI!O:O)</f>
        <v>175607.94010889292</v>
      </c>
      <c r="D53" s="3"/>
      <c r="E53" s="13" t="s">
        <v>31</v>
      </c>
      <c r="F53" s="9">
        <f t="shared" si="3"/>
        <v>1.1400000000000001</v>
      </c>
      <c r="G53" s="9">
        <v>1.1200000000000001</v>
      </c>
      <c r="H53" s="3"/>
    </row>
    <row r="54" spans="1:8" x14ac:dyDescent="0.25">
      <c r="A54" s="7"/>
      <c r="B54" s="14" t="s">
        <v>53</v>
      </c>
      <c r="C54" s="8">
        <f>SUMIF(DOI!E:E,B54,DOI!O:O)</f>
        <v>59979.476709013914</v>
      </c>
      <c r="D54" s="3"/>
      <c r="E54" s="13" t="s">
        <v>31</v>
      </c>
      <c r="F54" s="9">
        <f t="shared" si="3"/>
        <v>1.1400000000000001</v>
      </c>
      <c r="G54" s="9">
        <v>1.1200000000000001</v>
      </c>
      <c r="H54" s="3"/>
    </row>
    <row r="55" spans="1:8" x14ac:dyDescent="0.25">
      <c r="A55" s="7"/>
      <c r="B55" s="4" t="s">
        <v>54</v>
      </c>
      <c r="C55" s="8">
        <f>SUMIF(DOI!E:E,B55,DOI!O:O)</f>
        <v>0</v>
      </c>
      <c r="D55" s="3"/>
      <c r="E55" s="13" t="s">
        <v>31</v>
      </c>
      <c r="F55" s="9">
        <f t="shared" si="3"/>
        <v>1.1400000000000001</v>
      </c>
      <c r="G55" s="9">
        <v>1.1200000000000001</v>
      </c>
      <c r="H55" s="3"/>
    </row>
    <row r="56" spans="1:8" x14ac:dyDescent="0.25">
      <c r="A56" s="7"/>
      <c r="B56" s="4" t="s">
        <v>55</v>
      </c>
      <c r="C56" s="8">
        <f>SUMIF(DOI!E:E,B56,DOI!O:O)</f>
        <v>0</v>
      </c>
      <c r="D56" s="3"/>
      <c r="E56" s="13" t="s">
        <v>31</v>
      </c>
      <c r="F56" s="9">
        <f t="shared" si="3"/>
        <v>1.1400000000000001</v>
      </c>
      <c r="G56" s="9">
        <v>1.1200000000000001</v>
      </c>
      <c r="H56" s="3"/>
    </row>
    <row r="57" spans="1:8" x14ac:dyDescent="0.25">
      <c r="A57" s="7"/>
      <c r="B57" s="4" t="s">
        <v>56</v>
      </c>
      <c r="C57" s="8">
        <f>SUMIF(DOI!E:E,B57,DOI!O:O)</f>
        <v>0</v>
      </c>
      <c r="D57" s="3"/>
      <c r="E57" s="13" t="s">
        <v>31</v>
      </c>
      <c r="F57" s="9">
        <f t="shared" si="3"/>
        <v>1.1400000000000001</v>
      </c>
      <c r="G57" s="9">
        <v>1.1200000000000001</v>
      </c>
      <c r="H57" s="3"/>
    </row>
    <row r="58" spans="1:8" x14ac:dyDescent="0.25">
      <c r="A58" s="7"/>
      <c r="B58" s="4" t="s">
        <v>57</v>
      </c>
      <c r="C58" s="8">
        <f>SUMIF(DOI!E:E,B58,DOI!O:O)</f>
        <v>0</v>
      </c>
      <c r="D58" s="3"/>
      <c r="E58" s="13" t="s">
        <v>31</v>
      </c>
      <c r="F58" s="9">
        <f t="shared" si="3"/>
        <v>1.1400000000000001</v>
      </c>
      <c r="G58" s="9">
        <v>1.1200000000000001</v>
      </c>
      <c r="H58" s="3"/>
    </row>
    <row r="59" spans="1:8" x14ac:dyDescent="0.25">
      <c r="A59" s="7"/>
      <c r="B59" s="4" t="s">
        <v>58</v>
      </c>
      <c r="C59" s="8">
        <f>SUMIF(DOI!E:E,B59,DOI!O:O)</f>
        <v>0</v>
      </c>
      <c r="D59" s="3"/>
      <c r="E59" s="13" t="s">
        <v>31</v>
      </c>
      <c r="F59" s="9">
        <f>G59+0.02</f>
        <v>1.1400000000000001</v>
      </c>
      <c r="G59" s="9">
        <v>1.1200000000000001</v>
      </c>
      <c r="H59" s="3"/>
    </row>
    <row r="60" spans="1:8" x14ac:dyDescent="0.25">
      <c r="A60" s="7"/>
      <c r="B60" s="4" t="s">
        <v>59</v>
      </c>
      <c r="C60" s="8">
        <f>SUMIF(DOI!E:E,B60,DOI!O:O)</f>
        <v>0</v>
      </c>
      <c r="D60" s="3"/>
      <c r="E60" s="13" t="s">
        <v>31</v>
      </c>
      <c r="F60" s="9">
        <f>G60+0.02</f>
        <v>1.1400000000000001</v>
      </c>
      <c r="G60" s="9">
        <v>1.1200000000000001</v>
      </c>
      <c r="H60" s="3"/>
    </row>
    <row r="61" spans="1:8" x14ac:dyDescent="0.25">
      <c r="A61" s="7"/>
      <c r="B61" s="4" t="s">
        <v>323</v>
      </c>
      <c r="C61" s="8">
        <f>SUMIF(DOI!E:E,B61,DOI!O:O)</f>
        <v>0</v>
      </c>
      <c r="D61" s="3"/>
      <c r="E61" s="13" t="s">
        <v>31</v>
      </c>
      <c r="F61" s="9">
        <f>G61+0.02</f>
        <v>1.1400000000000001</v>
      </c>
      <c r="G61" s="9">
        <v>1.1200000000000001</v>
      </c>
      <c r="H61" s="3"/>
    </row>
    <row r="62" spans="1:8" x14ac:dyDescent="0.25">
      <c r="A62" s="7"/>
      <c r="B62" s="4" t="s">
        <v>60</v>
      </c>
      <c r="C62" s="8">
        <f>SUMIF(DOI!E:E,B62,DOI!O:O)</f>
        <v>0</v>
      </c>
      <c r="D62" s="3"/>
      <c r="E62" s="13" t="s">
        <v>61</v>
      </c>
      <c r="F62" s="9">
        <f t="shared" ref="F62:F76" si="4">G62+0.02</f>
        <v>1.105</v>
      </c>
      <c r="G62" s="9">
        <v>1.085</v>
      </c>
      <c r="H62" s="3"/>
    </row>
    <row r="63" spans="1:8" x14ac:dyDescent="0.25">
      <c r="A63" s="7"/>
      <c r="B63" s="4" t="s">
        <v>62</v>
      </c>
      <c r="C63" s="8">
        <f>SUMIF(DOI!E:E,B63,DOI!O:O)</f>
        <v>0</v>
      </c>
      <c r="D63" s="3"/>
      <c r="E63" s="13" t="s">
        <v>61</v>
      </c>
      <c r="F63" s="9">
        <f t="shared" si="4"/>
        <v>1.105</v>
      </c>
      <c r="G63" s="9">
        <v>1.085</v>
      </c>
      <c r="H63" s="3"/>
    </row>
    <row r="64" spans="1:8" x14ac:dyDescent="0.25">
      <c r="A64" s="7"/>
      <c r="B64" s="4" t="s">
        <v>63</v>
      </c>
      <c r="C64" s="8">
        <f>SUMIF(DOI!E:E,B64,DOI!O:O)</f>
        <v>0</v>
      </c>
      <c r="D64" s="3"/>
      <c r="E64" s="13" t="s">
        <v>61</v>
      </c>
      <c r="F64" s="9">
        <f t="shared" si="4"/>
        <v>1.105</v>
      </c>
      <c r="G64" s="9">
        <v>1.085</v>
      </c>
      <c r="H64" s="3"/>
    </row>
    <row r="65" spans="1:8" x14ac:dyDescent="0.25">
      <c r="A65" s="7"/>
      <c r="B65" s="4" t="s">
        <v>64</v>
      </c>
      <c r="C65" s="8">
        <f>SUMIF(DOI!E:E,B65,DOI!O:O)</f>
        <v>371166.5236386332</v>
      </c>
      <c r="D65" s="3"/>
      <c r="E65" s="13" t="s">
        <v>61</v>
      </c>
      <c r="F65" s="9">
        <f t="shared" si="4"/>
        <v>1.105</v>
      </c>
      <c r="G65" s="9">
        <v>1.085</v>
      </c>
      <c r="H65" s="3"/>
    </row>
    <row r="66" spans="1:8" x14ac:dyDescent="0.25">
      <c r="A66" s="7"/>
      <c r="B66" s="4" t="s">
        <v>65</v>
      </c>
      <c r="C66" s="8">
        <f>SUMIF(DOI!E:E,B66,DOI!O:O)</f>
        <v>1239282.2483377145</v>
      </c>
      <c r="D66" s="3"/>
      <c r="E66" s="13" t="s">
        <v>61</v>
      </c>
      <c r="F66" s="9">
        <f>G66+0.02</f>
        <v>1.115</v>
      </c>
      <c r="G66" s="9">
        <v>1.095</v>
      </c>
      <c r="H66" s="3"/>
    </row>
    <row r="67" spans="1:8" x14ac:dyDescent="0.25">
      <c r="A67" s="7"/>
      <c r="B67" s="4" t="s">
        <v>326</v>
      </c>
      <c r="C67" s="8">
        <f>SUMIF(DOI!E:E,B67,DOI!O:O)</f>
        <v>0</v>
      </c>
      <c r="D67" s="3"/>
      <c r="E67" s="13" t="s">
        <v>61</v>
      </c>
      <c r="F67" s="9">
        <f t="shared" ref="F67" si="5">G67+0.02</f>
        <v>1.115</v>
      </c>
      <c r="G67" s="9">
        <v>1.095</v>
      </c>
      <c r="H67" s="3"/>
    </row>
    <row r="68" spans="1:8" x14ac:dyDescent="0.25">
      <c r="A68" s="7"/>
      <c r="B68" s="4" t="s">
        <v>325</v>
      </c>
      <c r="C68" s="8">
        <f>SUMIF(DOI!E:E,B68,DOI!O:O)</f>
        <v>7324618.3547239853</v>
      </c>
      <c r="D68" s="3"/>
      <c r="E68" s="13" t="s">
        <v>325</v>
      </c>
      <c r="F68" s="9">
        <f t="shared" si="4"/>
        <v>1.115</v>
      </c>
      <c r="G68" s="9">
        <v>1.095</v>
      </c>
      <c r="H68" s="3"/>
    </row>
    <row r="69" spans="1:8" x14ac:dyDescent="0.25">
      <c r="A69" s="7"/>
      <c r="B69" s="4" t="s">
        <v>66</v>
      </c>
      <c r="C69" s="8">
        <f>SUMIF(DOI!E:E,B69,DOI!O:O)</f>
        <v>0</v>
      </c>
      <c r="D69" s="3"/>
      <c r="E69" s="13" t="s">
        <v>67</v>
      </c>
      <c r="F69" s="9">
        <f t="shared" si="4"/>
        <v>1.1400000000000001</v>
      </c>
      <c r="G69" s="9">
        <v>1.1200000000000001</v>
      </c>
      <c r="H69" s="3"/>
    </row>
    <row r="70" spans="1:8" x14ac:dyDescent="0.25">
      <c r="A70" s="7"/>
      <c r="B70" s="4" t="s">
        <v>68</v>
      </c>
      <c r="C70" s="8">
        <f>SUMIF(DOI!E:E,B70,DOI!O:O)</f>
        <v>0</v>
      </c>
      <c r="D70" s="3"/>
      <c r="E70" s="13" t="s">
        <v>67</v>
      </c>
      <c r="F70" s="9">
        <f t="shared" si="4"/>
        <v>1.1400000000000001</v>
      </c>
      <c r="G70" s="9">
        <v>1.1200000000000001</v>
      </c>
      <c r="H70" s="3"/>
    </row>
    <row r="71" spans="1:8" x14ac:dyDescent="0.25">
      <c r="A71" s="7"/>
      <c r="B71" s="4" t="s">
        <v>69</v>
      </c>
      <c r="C71" s="8">
        <f>SUMIF(DOI!E:E,B71,DOI!O:O)</f>
        <v>0</v>
      </c>
      <c r="D71" s="3"/>
      <c r="E71" s="13" t="s">
        <v>67</v>
      </c>
      <c r="F71" s="9">
        <f t="shared" si="4"/>
        <v>1.1400000000000001</v>
      </c>
      <c r="G71" s="9">
        <v>1.1200000000000001</v>
      </c>
      <c r="H71" s="3"/>
    </row>
    <row r="72" spans="1:8" x14ac:dyDescent="0.25">
      <c r="A72" s="7"/>
      <c r="B72" s="4" t="s">
        <v>70</v>
      </c>
      <c r="C72" s="8">
        <f>SUMIF(DOI!E:E,B72,DOI!O:O)</f>
        <v>0</v>
      </c>
      <c r="D72" s="3"/>
      <c r="E72" s="13" t="s">
        <v>67</v>
      </c>
      <c r="F72" s="9">
        <f t="shared" si="4"/>
        <v>1.1400000000000001</v>
      </c>
      <c r="G72" s="9">
        <v>1.1200000000000001</v>
      </c>
      <c r="H72" s="3"/>
    </row>
    <row r="73" spans="1:8" x14ac:dyDescent="0.25">
      <c r="A73" s="7"/>
      <c r="B73" s="4" t="s">
        <v>293</v>
      </c>
      <c r="C73" s="8">
        <f>SUMIF(DOI!E:E,B73,DOI!O:O)</f>
        <v>0</v>
      </c>
      <c r="D73" s="3"/>
      <c r="E73" s="13" t="s">
        <v>67</v>
      </c>
      <c r="F73" s="9">
        <f t="shared" ref="F73" si="6">G73+0.02</f>
        <v>1.1400000000000001</v>
      </c>
      <c r="G73" s="9">
        <v>1.1200000000000001</v>
      </c>
      <c r="H73" s="3"/>
    </row>
    <row r="74" spans="1:8" x14ac:dyDescent="0.25">
      <c r="A74" s="7"/>
      <c r="B74" s="4" t="s">
        <v>71</v>
      </c>
      <c r="C74" s="8">
        <f>SUMIF(DOI!E:E,B74,DOI!O:O)</f>
        <v>0</v>
      </c>
      <c r="D74" s="3"/>
      <c r="E74" s="13" t="s">
        <v>67</v>
      </c>
      <c r="F74" s="9">
        <f t="shared" si="4"/>
        <v>1.1400000000000001</v>
      </c>
      <c r="G74" s="9">
        <v>1.1200000000000001</v>
      </c>
      <c r="H74" s="3"/>
    </row>
    <row r="75" spans="1:8" x14ac:dyDescent="0.25">
      <c r="A75" s="7"/>
      <c r="B75" s="4" t="s">
        <v>72</v>
      </c>
      <c r="C75" s="8">
        <f>SUMIF(DOI!E:E,B75,DOI!O:O)</f>
        <v>0</v>
      </c>
      <c r="D75" s="3"/>
      <c r="E75" s="13" t="s">
        <v>67</v>
      </c>
      <c r="F75" s="9">
        <f t="shared" si="4"/>
        <v>1.1400000000000001</v>
      </c>
      <c r="G75" s="9">
        <v>1.1200000000000001</v>
      </c>
      <c r="H75" s="3"/>
    </row>
    <row r="76" spans="1:8" x14ac:dyDescent="0.25">
      <c r="A76" s="7"/>
      <c r="B76" s="4" t="s">
        <v>73</v>
      </c>
      <c r="C76" s="8">
        <f>SUMIF(DOI!E:E,B76,DOI!O:O)</f>
        <v>0</v>
      </c>
      <c r="D76" s="3"/>
      <c r="E76" s="13" t="s">
        <v>67</v>
      </c>
      <c r="F76" s="9">
        <f t="shared" si="4"/>
        <v>1.1400000000000001</v>
      </c>
      <c r="G76" s="9">
        <v>1.1200000000000001</v>
      </c>
      <c r="H76" s="3"/>
    </row>
    <row r="77" spans="1:8" x14ac:dyDescent="0.25">
      <c r="A77" s="10"/>
      <c r="B77" s="11" t="s">
        <v>4</v>
      </c>
      <c r="C77" s="12">
        <f>SUBTOTAL(9,C32:C76)</f>
        <v>10236709.473947762</v>
      </c>
      <c r="D77" s="4" t="s">
        <v>5</v>
      </c>
      <c r="E77" s="3"/>
      <c r="F77" s="3"/>
      <c r="G77" s="3"/>
      <c r="H77" s="3"/>
    </row>
    <row r="78" spans="1:8" x14ac:dyDescent="0.25">
      <c r="A78" s="4"/>
      <c r="B78" s="4"/>
      <c r="C78" s="6"/>
      <c r="D78" s="3"/>
      <c r="E78" s="3"/>
      <c r="F78" s="3"/>
      <c r="G78" s="3"/>
      <c r="H78" s="3"/>
    </row>
    <row r="79" spans="1:8" x14ac:dyDescent="0.25">
      <c r="A79" s="3"/>
      <c r="B79" s="3"/>
      <c r="C79" s="3"/>
      <c r="D79" s="17"/>
      <c r="E79" s="3"/>
      <c r="F79" s="3"/>
      <c r="G79" s="3"/>
      <c r="H79" s="3"/>
    </row>
    <row r="80" spans="1:8" x14ac:dyDescent="0.25">
      <c r="A80" s="3"/>
      <c r="B80" s="3" t="s">
        <v>288</v>
      </c>
      <c r="C80" s="8">
        <f>SUMIF(DOI!E:E,B80,DOI!O:O)</f>
        <v>600000</v>
      </c>
      <c r="D80" s="3"/>
      <c r="E80" s="3" t="s">
        <v>289</v>
      </c>
      <c r="F80" s="3"/>
      <c r="G80" s="3"/>
      <c r="H80" s="3"/>
    </row>
    <row r="81" spans="1:8" x14ac:dyDescent="0.25">
      <c r="A81" s="3"/>
      <c r="B81" s="3"/>
      <c r="C81" s="3"/>
      <c r="D81" s="3"/>
      <c r="E81" s="3"/>
      <c r="F81" s="3"/>
      <c r="G81" s="3"/>
      <c r="H81" s="3"/>
    </row>
    <row r="82" spans="1:8" x14ac:dyDescent="0.25">
      <c r="A82" s="3"/>
      <c r="B82" s="3"/>
      <c r="C82" s="3"/>
      <c r="D82" s="3"/>
      <c r="E82" s="3"/>
      <c r="F82" s="3"/>
      <c r="G82" s="3"/>
      <c r="H82" s="3"/>
    </row>
    <row r="83" spans="1:8" ht="15.75" thickBot="1" x14ac:dyDescent="0.3">
      <c r="A83" s="3"/>
      <c r="B83" s="3" t="s">
        <v>81</v>
      </c>
      <c r="C83" s="16">
        <f>SUBTOTAL(9,C3:C78)</f>
        <v>19047935.21502459</v>
      </c>
      <c r="D83" s="3"/>
      <c r="E83" s="3"/>
      <c r="F83" s="3"/>
      <c r="G83" s="3"/>
      <c r="H83" s="3"/>
    </row>
    <row r="84" spans="1:8" ht="15.75" thickTop="1" x14ac:dyDescent="0.25">
      <c r="A84" s="3"/>
      <c r="B84" s="3"/>
      <c r="C84" s="3"/>
      <c r="D84" s="3"/>
      <c r="E84" s="3"/>
      <c r="F84" s="3"/>
      <c r="G84" s="3"/>
      <c r="H84" s="3"/>
    </row>
    <row r="85" spans="1:8" x14ac:dyDescent="0.25">
      <c r="A85" s="3"/>
      <c r="B85" s="3"/>
      <c r="C85" s="3"/>
      <c r="D85" s="3"/>
      <c r="E85" s="3"/>
      <c r="F85" s="3"/>
      <c r="G85" s="3"/>
      <c r="H85" s="3"/>
    </row>
    <row r="86" spans="1:8" x14ac:dyDescent="0.25">
      <c r="A86" s="3"/>
      <c r="B86" s="3"/>
      <c r="C86" s="18">
        <f>+C83-DOI!O136</f>
        <v>19047935.21502459</v>
      </c>
      <c r="D86" s="3"/>
      <c r="E86" s="3"/>
      <c r="F86" s="3"/>
      <c r="G86" s="3"/>
      <c r="H86" s="3"/>
    </row>
    <row r="87" spans="1:8" x14ac:dyDescent="0.25">
      <c r="A87" s="3"/>
      <c r="B87" s="3"/>
      <c r="C87" s="8"/>
      <c r="D87" s="3"/>
      <c r="E87" s="3"/>
      <c r="F87" s="3"/>
      <c r="G87" s="3"/>
      <c r="H87" s="3"/>
    </row>
    <row r="88" spans="1:8" x14ac:dyDescent="0.25">
      <c r="A88" s="3"/>
      <c r="B88" s="3"/>
      <c r="C88" s="3"/>
      <c r="D88" s="3"/>
      <c r="E88" s="3"/>
      <c r="F88" s="3"/>
      <c r="G88" s="3"/>
      <c r="H88" s="3"/>
    </row>
  </sheetData>
  <autoFilter ref="A1:H83" xr:uid="{8B641957-5BA6-444D-98B4-C2E1B59943AC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5D228-7256-4155-B4AE-EEB120E32E1A}">
  <dimension ref="A1:K203"/>
  <sheetViews>
    <sheetView showGridLines="0" zoomScale="80" zoomScaleNormal="80" workbookViewId="0">
      <pane ySplit="1" topLeftCell="A101" activePane="bottomLeft" state="frozen"/>
      <selection pane="bottomLeft" activeCell="K119" sqref="K119"/>
    </sheetView>
  </sheetViews>
  <sheetFormatPr baseColWidth="10" defaultRowHeight="15" x14ac:dyDescent="0.25"/>
  <cols>
    <col min="1" max="1" width="27.140625" bestFit="1" customWidth="1"/>
    <col min="2" max="2" width="35.140625" bestFit="1" customWidth="1"/>
    <col min="3" max="3" width="23" customWidth="1"/>
    <col min="4" max="4" width="8.85546875" bestFit="1" customWidth="1"/>
    <col min="5" max="5" width="27.42578125" bestFit="1" customWidth="1"/>
    <col min="6" max="7" width="5.7109375" bestFit="1" customWidth="1"/>
  </cols>
  <sheetData>
    <row r="1" spans="1:11" ht="13.5" customHeight="1" thickBot="1" x14ac:dyDescent="0.3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I1" s="43" t="s">
        <v>209</v>
      </c>
      <c r="J1" s="43" t="s">
        <v>210</v>
      </c>
      <c r="K1" s="43" t="s">
        <v>211</v>
      </c>
    </row>
    <row r="2" spans="1:11" x14ac:dyDescent="0.25">
      <c r="A2" s="4"/>
      <c r="B2" s="4"/>
      <c r="C2" s="5"/>
      <c r="D2" s="3"/>
      <c r="E2" s="3"/>
      <c r="F2" s="3"/>
      <c r="G2" s="3"/>
      <c r="I2" s="3"/>
    </row>
    <row r="3" spans="1:11" x14ac:dyDescent="0.25">
      <c r="A3" s="4"/>
      <c r="B3" s="4"/>
      <c r="C3" s="6"/>
      <c r="D3" s="3"/>
      <c r="E3" s="3"/>
      <c r="F3" s="3"/>
      <c r="G3" s="3"/>
      <c r="I3" s="3"/>
    </row>
    <row r="4" spans="1:11" x14ac:dyDescent="0.25">
      <c r="A4" s="19"/>
      <c r="B4" s="27"/>
      <c r="C4" s="8"/>
      <c r="D4" s="3"/>
      <c r="E4" s="21"/>
      <c r="F4" s="3"/>
      <c r="G4" s="3"/>
      <c r="H4" s="3"/>
      <c r="I4" s="40"/>
      <c r="J4" s="40"/>
      <c r="K4" s="40"/>
    </row>
    <row r="5" spans="1:11" x14ac:dyDescent="0.25">
      <c r="A5" s="19"/>
      <c r="B5" s="20" t="s">
        <v>83</v>
      </c>
      <c r="C5" s="8">
        <f>SUMIF(DIM!E:E,B5,DIM!O:O)</f>
        <v>-71868.451439417899</v>
      </c>
      <c r="D5" s="3"/>
      <c r="E5" s="21" t="s">
        <v>84</v>
      </c>
      <c r="F5" s="25">
        <f>G5+0.02</f>
        <v>1.0900000000000001</v>
      </c>
      <c r="G5" s="25">
        <v>1.07</v>
      </c>
      <c r="H5" s="24" t="s">
        <v>85</v>
      </c>
      <c r="I5" s="40">
        <v>2.3E-2</v>
      </c>
      <c r="J5" s="40">
        <v>3.2000000000000001E-2</v>
      </c>
      <c r="K5" s="40">
        <f t="shared" ref="K5:K32" si="0">G5-1-I5-J5</f>
        <v>1.5000000000000062E-2</v>
      </c>
    </row>
    <row r="6" spans="1:11" x14ac:dyDescent="0.25">
      <c r="A6" s="19"/>
      <c r="B6" s="20" t="s">
        <v>86</v>
      </c>
      <c r="C6" s="8">
        <f>SUMIF(DIM!E:E,B6,DIM!O:O)</f>
        <v>0</v>
      </c>
      <c r="D6" s="3"/>
      <c r="E6" s="21" t="s">
        <v>84</v>
      </c>
      <c r="F6" s="25">
        <f>G6+0.02</f>
        <v>1.0900000000000001</v>
      </c>
      <c r="G6" s="25">
        <v>1.07</v>
      </c>
      <c r="H6" s="24" t="s">
        <v>85</v>
      </c>
      <c r="I6" s="40">
        <v>2.3E-2</v>
      </c>
      <c r="J6" s="40">
        <v>3.2000000000000001E-2</v>
      </c>
      <c r="K6" s="40">
        <f t="shared" si="0"/>
        <v>1.5000000000000062E-2</v>
      </c>
    </row>
    <row r="7" spans="1:11" x14ac:dyDescent="0.25">
      <c r="A7" s="19"/>
      <c r="B7" s="28" t="s">
        <v>87</v>
      </c>
      <c r="C7" s="12">
        <f>SUBTOTAL(9,C4:C6)</f>
        <v>-71868.451439417899</v>
      </c>
      <c r="D7" s="3"/>
      <c r="E7" s="21" t="s">
        <v>84</v>
      </c>
      <c r="F7" s="3"/>
      <c r="G7" s="3"/>
      <c r="H7" s="3"/>
      <c r="I7" s="40"/>
      <c r="J7" s="40"/>
      <c r="K7" s="40"/>
    </row>
    <row r="8" spans="1:11" x14ac:dyDescent="0.25">
      <c r="A8" s="29"/>
      <c r="B8" s="27"/>
      <c r="C8" s="8"/>
      <c r="D8" s="4"/>
      <c r="E8" s="21"/>
      <c r="F8" s="3"/>
      <c r="G8" s="3"/>
      <c r="H8" s="3"/>
      <c r="I8" s="40"/>
      <c r="J8" s="40"/>
      <c r="K8" s="40"/>
    </row>
    <row r="9" spans="1:11" x14ac:dyDescent="0.25">
      <c r="A9" s="3"/>
      <c r="B9" s="28" t="s">
        <v>88</v>
      </c>
      <c r="C9" s="8">
        <f>SUMIF(DIM!E:E,B9,DIM!O:O)</f>
        <v>0</v>
      </c>
      <c r="D9" s="3"/>
      <c r="E9" s="21"/>
      <c r="F9" s="3"/>
      <c r="G9" s="3"/>
      <c r="H9" s="3"/>
      <c r="I9" s="40"/>
      <c r="J9" s="40"/>
      <c r="K9" s="40"/>
    </row>
    <row r="10" spans="1:11" x14ac:dyDescent="0.25">
      <c r="A10" s="19"/>
      <c r="B10" s="22" t="s">
        <v>89</v>
      </c>
      <c r="C10" s="8">
        <f>SUMIF(DIM!E:E,B10,DIM!O:O)</f>
        <v>0</v>
      </c>
      <c r="D10" s="3"/>
      <c r="E10" s="21" t="s">
        <v>84</v>
      </c>
      <c r="F10" s="9">
        <f t="shared" ref="F10:F17" si="1">G10+0.02</f>
        <v>1.075</v>
      </c>
      <c r="G10" s="9">
        <v>1.0549999999999999</v>
      </c>
      <c r="H10" s="24" t="s">
        <v>90</v>
      </c>
      <c r="I10" s="40">
        <v>2.3E-2</v>
      </c>
      <c r="J10" s="40">
        <v>3.2000000000000001E-2</v>
      </c>
      <c r="K10" s="40">
        <f t="shared" si="0"/>
        <v>-6.2450045135165055E-17</v>
      </c>
    </row>
    <row r="11" spans="1:11" x14ac:dyDescent="0.25">
      <c r="A11" s="19"/>
      <c r="B11" s="22" t="s">
        <v>91</v>
      </c>
      <c r="C11" s="8">
        <f>SUMIF(DIM!E:E,B11,DIM!O:O)</f>
        <v>0</v>
      </c>
      <c r="D11" s="3"/>
      <c r="E11" s="21" t="s">
        <v>84</v>
      </c>
      <c r="F11" s="9">
        <f t="shared" si="1"/>
        <v>1.075</v>
      </c>
      <c r="G11" s="9">
        <v>1.0549999999999999</v>
      </c>
      <c r="H11" s="24" t="s">
        <v>90</v>
      </c>
      <c r="I11" s="40">
        <v>2.3E-2</v>
      </c>
      <c r="J11" s="40">
        <v>3.2000000000000001E-2</v>
      </c>
      <c r="K11" s="40">
        <f t="shared" si="0"/>
        <v>-6.2450045135165055E-17</v>
      </c>
    </row>
    <row r="12" spans="1:11" x14ac:dyDescent="0.25">
      <c r="A12" s="19"/>
      <c r="B12" s="22" t="s">
        <v>92</v>
      </c>
      <c r="C12" s="8">
        <f>SUMIF(DIM!E:E,B12,DIM!O:O)</f>
        <v>0</v>
      </c>
      <c r="D12" s="3"/>
      <c r="E12" s="21" t="s">
        <v>84</v>
      </c>
      <c r="F12" s="9">
        <f t="shared" si="1"/>
        <v>1.075</v>
      </c>
      <c r="G12" s="9">
        <v>1.0549999999999999</v>
      </c>
      <c r="H12" s="24" t="s">
        <v>90</v>
      </c>
      <c r="I12" s="40">
        <v>2.3E-2</v>
      </c>
      <c r="J12" s="40">
        <v>3.2000000000000001E-2</v>
      </c>
      <c r="K12" s="40">
        <f t="shared" si="0"/>
        <v>-6.2450045135165055E-17</v>
      </c>
    </row>
    <row r="13" spans="1:11" x14ac:dyDescent="0.25">
      <c r="A13" s="19"/>
      <c r="B13" s="22" t="s">
        <v>93</v>
      </c>
      <c r="C13" s="8">
        <f>SUMIF(DIM!E:E,B13,DIM!O:O)</f>
        <v>0</v>
      </c>
      <c r="D13" s="3"/>
      <c r="E13" s="21" t="s">
        <v>84</v>
      </c>
      <c r="F13" s="9">
        <f t="shared" si="1"/>
        <v>1.075</v>
      </c>
      <c r="G13" s="9">
        <v>1.0549999999999999</v>
      </c>
      <c r="H13" s="24" t="s">
        <v>90</v>
      </c>
      <c r="I13" s="40">
        <v>2.3E-2</v>
      </c>
      <c r="J13" s="40">
        <v>3.2000000000000001E-2</v>
      </c>
      <c r="K13" s="40">
        <f t="shared" si="0"/>
        <v>-6.2450045135165055E-17</v>
      </c>
    </row>
    <row r="14" spans="1:11" x14ac:dyDescent="0.25">
      <c r="A14" s="19"/>
      <c r="B14" s="22" t="s">
        <v>94</v>
      </c>
      <c r="C14" s="8">
        <f>SUMIF(DIM!E:E,B14,DIM!O:O)</f>
        <v>70019.8354950965</v>
      </c>
      <c r="D14" s="3"/>
      <c r="E14" s="21" t="s">
        <v>84</v>
      </c>
      <c r="F14" s="25">
        <f t="shared" si="1"/>
        <v>1.0900000000000001</v>
      </c>
      <c r="G14" s="25">
        <v>1.07</v>
      </c>
      <c r="H14" s="24" t="s">
        <v>90</v>
      </c>
      <c r="I14" s="40">
        <v>2.3E-2</v>
      </c>
      <c r="J14" s="40">
        <v>3.2000000000000001E-2</v>
      </c>
      <c r="K14" s="40">
        <f t="shared" si="0"/>
        <v>1.5000000000000062E-2</v>
      </c>
    </row>
    <row r="15" spans="1:11" x14ac:dyDescent="0.25">
      <c r="A15" s="19"/>
      <c r="B15" s="22" t="s">
        <v>95</v>
      </c>
      <c r="C15" s="8">
        <f>SUMIF(DIM!E:E,B15,DIM!O:O)</f>
        <v>0</v>
      </c>
      <c r="D15" s="3"/>
      <c r="E15" s="21" t="s">
        <v>84</v>
      </c>
      <c r="F15" s="9">
        <f t="shared" si="1"/>
        <v>1.075</v>
      </c>
      <c r="G15" s="9">
        <v>1.0549999999999999</v>
      </c>
      <c r="H15" s="24" t="s">
        <v>90</v>
      </c>
      <c r="I15" s="40">
        <v>2.3E-2</v>
      </c>
      <c r="J15" s="40">
        <v>3.2000000000000001E-2</v>
      </c>
      <c r="K15" s="40">
        <f t="shared" si="0"/>
        <v>-6.2450045135165055E-17</v>
      </c>
    </row>
    <row r="16" spans="1:11" x14ac:dyDescent="0.25">
      <c r="A16" s="19"/>
      <c r="B16" s="22" t="s">
        <v>96</v>
      </c>
      <c r="C16" s="8">
        <f>SUMIF(DIM!E:E,B16,DIM!O:O)</f>
        <v>0</v>
      </c>
      <c r="D16" s="3"/>
      <c r="E16" s="21" t="s">
        <v>84</v>
      </c>
      <c r="F16" s="9">
        <f>G16+0.02</f>
        <v>1.075</v>
      </c>
      <c r="G16" s="9">
        <v>1.0549999999999999</v>
      </c>
      <c r="H16" s="24" t="s">
        <v>90</v>
      </c>
      <c r="I16" s="40">
        <v>2.3E-2</v>
      </c>
      <c r="J16" s="40">
        <v>3.2000000000000001E-2</v>
      </c>
      <c r="K16" s="40">
        <f t="shared" si="0"/>
        <v>-6.2450045135165055E-17</v>
      </c>
    </row>
    <row r="17" spans="1:11" x14ac:dyDescent="0.25">
      <c r="A17" s="19"/>
      <c r="B17" s="22" t="s">
        <v>97</v>
      </c>
      <c r="C17" s="8">
        <f>SUMIF(DIM!E:E,B17,DIM!O:O)</f>
        <v>0</v>
      </c>
      <c r="D17" s="3"/>
      <c r="E17" s="21" t="s">
        <v>84</v>
      </c>
      <c r="F17" s="9">
        <f t="shared" si="1"/>
        <v>1.075</v>
      </c>
      <c r="G17" s="9">
        <v>1.0549999999999999</v>
      </c>
      <c r="H17" s="24" t="s">
        <v>90</v>
      </c>
      <c r="I17" s="40">
        <v>2.3E-2</v>
      </c>
      <c r="J17" s="40">
        <v>3.2000000000000001E-2</v>
      </c>
      <c r="K17" s="40">
        <f t="shared" si="0"/>
        <v>-6.2450045135165055E-17</v>
      </c>
    </row>
    <row r="18" spans="1:11" x14ac:dyDescent="0.25">
      <c r="A18" s="19"/>
      <c r="B18" s="28" t="s">
        <v>98</v>
      </c>
      <c r="C18" s="12">
        <f>SUBTOTAL(9,C4:C17)</f>
        <v>-1848.6159443213983</v>
      </c>
      <c r="D18" s="3"/>
      <c r="E18" s="21" t="s">
        <v>84</v>
      </c>
      <c r="F18" s="3"/>
      <c r="G18" s="3"/>
      <c r="H18" s="3"/>
      <c r="I18" s="40"/>
      <c r="J18" s="40"/>
      <c r="K18" s="40"/>
    </row>
    <row r="19" spans="1:11" x14ac:dyDescent="0.25">
      <c r="A19" s="19"/>
      <c r="B19" s="28"/>
      <c r="C19" s="8"/>
      <c r="D19" s="3"/>
      <c r="E19" s="21"/>
      <c r="F19" s="3"/>
      <c r="G19" s="3"/>
      <c r="H19" s="3"/>
      <c r="I19" s="40"/>
      <c r="J19" s="40"/>
      <c r="K19" s="40"/>
    </row>
    <row r="20" spans="1:11" x14ac:dyDescent="0.25">
      <c r="A20" s="19"/>
      <c r="B20" s="20" t="s">
        <v>99</v>
      </c>
      <c r="C20" s="8">
        <f>SUMIF(DIM!E:E,B20,DIM!O:O)</f>
        <v>0</v>
      </c>
      <c r="D20" s="3"/>
      <c r="E20" s="21" t="s">
        <v>74</v>
      </c>
      <c r="F20" s="9">
        <f>G20+0.02</f>
        <v>1.02</v>
      </c>
      <c r="G20" s="9">
        <v>1</v>
      </c>
      <c r="H20" s="24">
        <v>0</v>
      </c>
      <c r="I20" s="40">
        <v>2.3E-2</v>
      </c>
      <c r="J20" s="40">
        <v>3.2000000000000001E-2</v>
      </c>
      <c r="K20" s="40">
        <f t="shared" si="0"/>
        <v>-5.5E-2</v>
      </c>
    </row>
    <row r="21" spans="1:11" x14ac:dyDescent="0.25">
      <c r="A21" s="19"/>
      <c r="B21" s="22"/>
      <c r="C21" s="8">
        <f>SUMIF(DIM!E:E,B21,DIM!O:O)</f>
        <v>0</v>
      </c>
      <c r="D21" s="3"/>
      <c r="E21" s="21"/>
      <c r="F21" s="9">
        <f>G21+0.02</f>
        <v>1.075</v>
      </c>
      <c r="G21" s="9">
        <v>1.0549999999999999</v>
      </c>
      <c r="H21" s="24">
        <v>0</v>
      </c>
      <c r="I21" s="40">
        <v>2.3E-2</v>
      </c>
      <c r="J21" s="40">
        <v>3.2000000000000001E-2</v>
      </c>
      <c r="K21" s="40">
        <f t="shared" si="0"/>
        <v>-6.2450045135165055E-17</v>
      </c>
    </row>
    <row r="22" spans="1:11" x14ac:dyDescent="0.25">
      <c r="A22" s="29"/>
      <c r="B22" s="28" t="s">
        <v>98</v>
      </c>
      <c r="C22" s="12">
        <f>SUBTOTAL(9,C4:C21)</f>
        <v>-1848.6159443213983</v>
      </c>
      <c r="D22" s="4" t="s">
        <v>5</v>
      </c>
      <c r="E22" s="21"/>
      <c r="F22" s="3"/>
      <c r="G22" s="3"/>
      <c r="H22" s="3"/>
      <c r="I22" s="40"/>
      <c r="J22" s="40"/>
      <c r="K22" s="40"/>
    </row>
    <row r="23" spans="1:11" x14ac:dyDescent="0.25">
      <c r="A23" s="3"/>
      <c r="B23" s="28"/>
      <c r="C23" s="3"/>
      <c r="D23" s="3"/>
      <c r="E23" s="21"/>
      <c r="F23" s="3"/>
      <c r="G23" s="3"/>
      <c r="H23" s="3"/>
      <c r="I23" s="40"/>
      <c r="J23" s="40"/>
      <c r="K23" s="40"/>
    </row>
    <row r="24" spans="1:11" x14ac:dyDescent="0.25">
      <c r="A24" s="3"/>
      <c r="B24" s="20" t="s">
        <v>100</v>
      </c>
      <c r="C24" s="8">
        <f>SUMIF(DIM!E:E,B24,DIM!O:O)</f>
        <v>0</v>
      </c>
      <c r="D24" s="3"/>
      <c r="E24" s="30" t="s">
        <v>84</v>
      </c>
      <c r="F24" s="25">
        <f t="shared" ref="F24:F81" si="2">G24+0.02</f>
        <v>1.0900000000000001</v>
      </c>
      <c r="G24" s="25">
        <v>1.07</v>
      </c>
      <c r="H24" s="24" t="s">
        <v>90</v>
      </c>
      <c r="I24" s="40">
        <v>2.3E-2</v>
      </c>
      <c r="J24" s="40">
        <v>3.2000000000000001E-2</v>
      </c>
      <c r="K24" s="40">
        <f t="shared" si="0"/>
        <v>1.5000000000000062E-2</v>
      </c>
    </row>
    <row r="25" spans="1:11" x14ac:dyDescent="0.25">
      <c r="A25" s="3"/>
      <c r="B25" s="20" t="s">
        <v>101</v>
      </c>
      <c r="C25" s="8">
        <f>SUMIF(DIM!E:E,B25,DIM!O:O)</f>
        <v>-13495.50120288693</v>
      </c>
      <c r="D25" s="3"/>
      <c r="E25" s="30" t="s">
        <v>84</v>
      </c>
      <c r="F25" s="25">
        <f t="shared" si="2"/>
        <v>1.075</v>
      </c>
      <c r="G25" s="25">
        <v>1.0549999999999999</v>
      </c>
      <c r="H25" s="24" t="s">
        <v>90</v>
      </c>
      <c r="I25" s="40">
        <v>2.3E-2</v>
      </c>
      <c r="J25" s="40">
        <v>3.2000000000000001E-2</v>
      </c>
      <c r="K25" s="40">
        <f t="shared" si="0"/>
        <v>-6.2450045135165055E-17</v>
      </c>
    </row>
    <row r="26" spans="1:11" x14ac:dyDescent="0.25">
      <c r="A26" s="3"/>
      <c r="B26" s="20" t="s">
        <v>102</v>
      </c>
      <c r="C26" s="8">
        <f>SUMIF(DIM!E:E,B26,DIM!O:O)</f>
        <v>0</v>
      </c>
      <c r="D26" s="3"/>
      <c r="E26" s="30" t="s">
        <v>84</v>
      </c>
      <c r="F26" s="25">
        <f t="shared" si="2"/>
        <v>1.0900000000000001</v>
      </c>
      <c r="G26" s="25">
        <v>1.07</v>
      </c>
      <c r="H26" s="24" t="s">
        <v>90</v>
      </c>
      <c r="I26" s="40">
        <v>2.3E-2</v>
      </c>
      <c r="J26" s="40">
        <v>3.2000000000000001E-2</v>
      </c>
      <c r="K26" s="40">
        <f t="shared" si="0"/>
        <v>1.5000000000000062E-2</v>
      </c>
    </row>
    <row r="27" spans="1:11" x14ac:dyDescent="0.25">
      <c r="A27" s="3"/>
      <c r="B27" s="20" t="s">
        <v>103</v>
      </c>
      <c r="C27" s="8">
        <f>SUMIF(DIM!E:E,B27,DIM!O:O)</f>
        <v>0</v>
      </c>
      <c r="D27" s="3"/>
      <c r="E27" s="30" t="s">
        <v>84</v>
      </c>
      <c r="F27" s="25">
        <f t="shared" si="2"/>
        <v>1.0900000000000001</v>
      </c>
      <c r="G27" s="25">
        <v>1.07</v>
      </c>
      <c r="H27" s="24" t="s">
        <v>90</v>
      </c>
      <c r="I27" s="40">
        <v>2.3E-2</v>
      </c>
      <c r="J27" s="40">
        <v>3.2000000000000001E-2</v>
      </c>
      <c r="K27" s="40">
        <f t="shared" si="0"/>
        <v>1.5000000000000062E-2</v>
      </c>
    </row>
    <row r="28" spans="1:11" x14ac:dyDescent="0.25">
      <c r="A28" s="3"/>
      <c r="B28" s="20" t="s">
        <v>104</v>
      </c>
      <c r="C28" s="8">
        <f>SUMIF(DIM!E:E,B28,DIM!O:O)</f>
        <v>0</v>
      </c>
      <c r="D28" s="3"/>
      <c r="E28" s="30" t="s">
        <v>84</v>
      </c>
      <c r="F28" s="25">
        <f t="shared" si="2"/>
        <v>1.0900000000000001</v>
      </c>
      <c r="G28" s="25">
        <v>1.07</v>
      </c>
      <c r="H28" s="24" t="s">
        <v>90</v>
      </c>
      <c r="I28" s="40">
        <v>2.3E-2</v>
      </c>
      <c r="J28" s="40">
        <v>3.2000000000000001E-2</v>
      </c>
      <c r="K28" s="40">
        <f t="shared" si="0"/>
        <v>1.5000000000000062E-2</v>
      </c>
    </row>
    <row r="29" spans="1:11" x14ac:dyDescent="0.25">
      <c r="A29" s="3"/>
      <c r="B29" s="20" t="s">
        <v>105</v>
      </c>
      <c r="C29" s="8">
        <f>SUMIF(DIM!E:E,B29,DIM!O:O)</f>
        <v>0</v>
      </c>
      <c r="D29" s="3"/>
      <c r="E29" s="30" t="s">
        <v>84</v>
      </c>
      <c r="F29" s="25">
        <f t="shared" si="2"/>
        <v>1.0900000000000001</v>
      </c>
      <c r="G29" s="25">
        <v>1.07</v>
      </c>
      <c r="H29" s="24" t="s">
        <v>90</v>
      </c>
      <c r="I29" s="40">
        <v>2.3E-2</v>
      </c>
      <c r="J29" s="40">
        <v>3.2000000000000001E-2</v>
      </c>
      <c r="K29" s="40">
        <f t="shared" si="0"/>
        <v>1.5000000000000062E-2</v>
      </c>
    </row>
    <row r="30" spans="1:11" x14ac:dyDescent="0.25">
      <c r="A30" s="3"/>
      <c r="B30" s="20" t="s">
        <v>106</v>
      </c>
      <c r="C30" s="8">
        <f>SUMIF(DIM!E:E,B30,DIM!O:O)</f>
        <v>0</v>
      </c>
      <c r="D30" s="3"/>
      <c r="E30" s="30" t="s">
        <v>84</v>
      </c>
      <c r="F30" s="25">
        <f t="shared" si="2"/>
        <v>1.0900000000000001</v>
      </c>
      <c r="G30" s="25">
        <v>1.07</v>
      </c>
      <c r="H30" s="24" t="s">
        <v>90</v>
      </c>
      <c r="I30" s="40">
        <v>2.3E-2</v>
      </c>
      <c r="J30" s="40">
        <v>3.2000000000000001E-2</v>
      </c>
      <c r="K30" s="40">
        <f t="shared" si="0"/>
        <v>1.5000000000000062E-2</v>
      </c>
    </row>
    <row r="31" spans="1:11" x14ac:dyDescent="0.25">
      <c r="A31" s="19"/>
      <c r="B31" s="22" t="s">
        <v>107</v>
      </c>
      <c r="C31" s="8">
        <f>SUMIF(DIM!E:E,B31,DIM!O:O)</f>
        <v>0</v>
      </c>
      <c r="D31" s="3"/>
      <c r="E31" s="30" t="s">
        <v>84</v>
      </c>
      <c r="F31" s="9">
        <f t="shared" si="2"/>
        <v>1.075</v>
      </c>
      <c r="G31" s="9">
        <v>1.0549999999999999</v>
      </c>
      <c r="H31" s="24" t="s">
        <v>90</v>
      </c>
      <c r="I31" s="40">
        <v>2.3E-2</v>
      </c>
      <c r="J31" s="40">
        <v>3.2000000000000001E-2</v>
      </c>
      <c r="K31" s="40">
        <f t="shared" si="0"/>
        <v>-6.2450045135165055E-17</v>
      </c>
    </row>
    <row r="32" spans="1:11" x14ac:dyDescent="0.25">
      <c r="A32" s="19"/>
      <c r="B32" s="22" t="s">
        <v>108</v>
      </c>
      <c r="C32" s="8">
        <f>SUMIF(DIM!E:E,B32,DIM!O:O)</f>
        <v>0</v>
      </c>
      <c r="D32" s="3"/>
      <c r="E32" s="30" t="s">
        <v>84</v>
      </c>
      <c r="F32" s="26">
        <f t="shared" si="2"/>
        <v>1.115</v>
      </c>
      <c r="G32" s="26">
        <v>1.095</v>
      </c>
      <c r="H32" s="24" t="s">
        <v>90</v>
      </c>
      <c r="I32" s="40">
        <v>2.3E-2</v>
      </c>
      <c r="J32" s="40">
        <v>3.2000000000000001E-2</v>
      </c>
      <c r="K32" s="40">
        <f t="shared" si="0"/>
        <v>3.999999999999998E-2</v>
      </c>
    </row>
    <row r="33" spans="1:11" x14ac:dyDescent="0.25">
      <c r="A33" s="19"/>
      <c r="B33" s="22" t="s">
        <v>109</v>
      </c>
      <c r="C33" s="8">
        <f>SUMIF(DIM!E:E,B33,DIM!O:O)</f>
        <v>0</v>
      </c>
      <c r="D33" s="3"/>
      <c r="E33" s="30" t="s">
        <v>84</v>
      </c>
      <c r="F33" s="31">
        <f t="shared" si="2"/>
        <v>1.0900000000000001</v>
      </c>
      <c r="G33" s="31">
        <v>1.07</v>
      </c>
      <c r="H33" s="24" t="s">
        <v>90</v>
      </c>
      <c r="I33" s="40">
        <v>2.3E-2</v>
      </c>
      <c r="J33" s="40">
        <v>3.2000000000000001E-2</v>
      </c>
      <c r="K33" s="40">
        <f t="shared" ref="K33:K89" si="3">G33-1-I33-J33</f>
        <v>1.5000000000000062E-2</v>
      </c>
    </row>
    <row r="34" spans="1:11" x14ac:dyDescent="0.25">
      <c r="A34" s="19"/>
      <c r="B34" s="22" t="s">
        <v>110</v>
      </c>
      <c r="C34" s="8">
        <f>SUMIF(DIM!E:E,B34,DIM!O:O)</f>
        <v>0</v>
      </c>
      <c r="D34" s="3"/>
      <c r="E34" s="30" t="s">
        <v>84</v>
      </c>
      <c r="F34" s="9">
        <f t="shared" si="2"/>
        <v>1.075</v>
      </c>
      <c r="G34" s="9">
        <v>1.0549999999999999</v>
      </c>
      <c r="H34" s="24" t="s">
        <v>90</v>
      </c>
      <c r="I34" s="40">
        <v>2.3E-2</v>
      </c>
      <c r="J34" s="40">
        <v>3.2000000000000001E-2</v>
      </c>
      <c r="K34" s="40">
        <f t="shared" si="3"/>
        <v>-6.2450045135165055E-17</v>
      </c>
    </row>
    <row r="35" spans="1:11" x14ac:dyDescent="0.25">
      <c r="A35" s="19"/>
      <c r="B35" s="22" t="s">
        <v>111</v>
      </c>
      <c r="C35" s="8">
        <f>SUMIF(DIM!E:E,B35,DIM!O:O)</f>
        <v>0</v>
      </c>
      <c r="D35" s="3"/>
      <c r="E35" s="30" t="s">
        <v>84</v>
      </c>
      <c r="F35" s="31">
        <f t="shared" si="2"/>
        <v>1.0900000000000001</v>
      </c>
      <c r="G35" s="31">
        <v>1.07</v>
      </c>
      <c r="H35" s="24" t="s">
        <v>90</v>
      </c>
      <c r="I35" s="40">
        <v>2.3E-2</v>
      </c>
      <c r="J35" s="40">
        <v>3.2000000000000001E-2</v>
      </c>
      <c r="K35" s="40">
        <f t="shared" si="3"/>
        <v>1.5000000000000062E-2</v>
      </c>
    </row>
    <row r="36" spans="1:11" x14ac:dyDescent="0.25">
      <c r="A36" s="19"/>
      <c r="B36" s="22" t="s">
        <v>112</v>
      </c>
      <c r="C36" s="8">
        <f>SUMIF(DIM!E:E,B36,DIM!O:O)</f>
        <v>0</v>
      </c>
      <c r="D36" s="3"/>
      <c r="E36" s="30" t="s">
        <v>113</v>
      </c>
      <c r="F36" s="25">
        <f>G36+0.02</f>
        <v>1.0900000000000001</v>
      </c>
      <c r="G36" s="25">
        <v>1.07</v>
      </c>
      <c r="H36" s="24" t="s">
        <v>114</v>
      </c>
      <c r="I36" s="40">
        <v>2.3E-2</v>
      </c>
      <c r="J36" s="40">
        <v>3.2000000000000001E-2</v>
      </c>
      <c r="K36" s="40">
        <f t="shared" si="3"/>
        <v>1.5000000000000062E-2</v>
      </c>
    </row>
    <row r="37" spans="1:11" x14ac:dyDescent="0.25">
      <c r="A37" s="19"/>
      <c r="B37" s="22" t="s">
        <v>115</v>
      </c>
      <c r="C37" s="8">
        <f>SUMIF(DIM!E:E,B37,DIM!O:O)</f>
        <v>0</v>
      </c>
      <c r="D37" s="3"/>
      <c r="E37" s="30" t="s">
        <v>113</v>
      </c>
      <c r="F37" s="25">
        <f>G37+0.02</f>
        <v>1.0900000000000001</v>
      </c>
      <c r="G37" s="25">
        <v>1.07</v>
      </c>
      <c r="H37" s="24" t="s">
        <v>114</v>
      </c>
      <c r="I37" s="40">
        <v>2.3E-2</v>
      </c>
      <c r="J37" s="40">
        <v>3.2000000000000001E-2</v>
      </c>
      <c r="K37" s="40">
        <f t="shared" si="3"/>
        <v>1.5000000000000062E-2</v>
      </c>
    </row>
    <row r="38" spans="1:11" x14ac:dyDescent="0.25">
      <c r="A38" s="3"/>
      <c r="B38" s="22" t="s">
        <v>116</v>
      </c>
      <c r="C38" s="8">
        <f>SUMIF(DIM!E:E,B38,DIM!O:O)</f>
        <v>0</v>
      </c>
      <c r="D38" s="3"/>
      <c r="E38" s="30" t="s">
        <v>113</v>
      </c>
      <c r="F38" s="25">
        <f>G38+0.02</f>
        <v>1.0900000000000001</v>
      </c>
      <c r="G38" s="25">
        <v>1.07</v>
      </c>
      <c r="H38" s="24" t="s">
        <v>114</v>
      </c>
      <c r="I38" s="40">
        <v>2.3E-2</v>
      </c>
      <c r="J38" s="40">
        <v>3.2000000000000001E-2</v>
      </c>
      <c r="K38" s="40">
        <f t="shared" si="3"/>
        <v>1.5000000000000062E-2</v>
      </c>
    </row>
    <row r="39" spans="1:11" x14ac:dyDescent="0.25">
      <c r="A39" s="3"/>
      <c r="B39" s="22" t="s">
        <v>117</v>
      </c>
      <c r="C39" s="8">
        <f>SUMIF(DIM!E:E,B39,DIM!O:O)</f>
        <v>0</v>
      </c>
      <c r="D39" s="3"/>
      <c r="E39" s="30" t="s">
        <v>113</v>
      </c>
      <c r="F39" s="25">
        <f t="shared" si="2"/>
        <v>1.0900000000000001</v>
      </c>
      <c r="G39" s="25">
        <v>1.07</v>
      </c>
      <c r="H39" s="24" t="s">
        <v>114</v>
      </c>
      <c r="I39" s="40">
        <v>2.3E-2</v>
      </c>
      <c r="J39" s="40">
        <v>3.2000000000000001E-2</v>
      </c>
      <c r="K39" s="40">
        <f t="shared" si="3"/>
        <v>1.5000000000000062E-2</v>
      </c>
    </row>
    <row r="40" spans="1:11" x14ac:dyDescent="0.25">
      <c r="A40" s="3"/>
      <c r="B40" s="22" t="s">
        <v>118</v>
      </c>
      <c r="C40" s="8">
        <f>SUMIF(DIM!E:E,B40,DIM!O:O)</f>
        <v>19563.951281240112</v>
      </c>
      <c r="D40" s="3"/>
      <c r="E40" s="30" t="s">
        <v>113</v>
      </c>
      <c r="F40" s="25">
        <f t="shared" si="2"/>
        <v>1.0900000000000001</v>
      </c>
      <c r="G40" s="25">
        <v>1.07</v>
      </c>
      <c r="H40" s="24" t="s">
        <v>114</v>
      </c>
      <c r="I40" s="40">
        <v>2.3E-2</v>
      </c>
      <c r="J40" s="40">
        <v>3.2000000000000001E-2</v>
      </c>
      <c r="K40" s="40">
        <f t="shared" si="3"/>
        <v>1.5000000000000062E-2</v>
      </c>
    </row>
    <row r="41" spans="1:11" x14ac:dyDescent="0.25">
      <c r="A41" s="3"/>
      <c r="B41" s="20" t="s">
        <v>119</v>
      </c>
      <c r="C41" s="8">
        <f>SUMIF(DIM!E:E,B41,DIM!O:O)</f>
        <v>0</v>
      </c>
      <c r="D41" s="3"/>
      <c r="E41" s="30" t="s">
        <v>113</v>
      </c>
      <c r="F41" s="25">
        <f t="shared" si="2"/>
        <v>1.0900000000000001</v>
      </c>
      <c r="G41" s="25">
        <v>1.07</v>
      </c>
      <c r="H41" s="24" t="s">
        <v>114</v>
      </c>
      <c r="I41" s="40">
        <v>2.3E-2</v>
      </c>
      <c r="J41" s="40">
        <v>3.2000000000000001E-2</v>
      </c>
      <c r="K41" s="40">
        <f t="shared" si="3"/>
        <v>1.5000000000000062E-2</v>
      </c>
    </row>
    <row r="42" spans="1:11" x14ac:dyDescent="0.25">
      <c r="A42" s="3"/>
      <c r="B42" s="20" t="s">
        <v>120</v>
      </c>
      <c r="C42" s="8">
        <f>SUMIF(DIM!E:E,B42,DIM!O:O)</f>
        <v>0</v>
      </c>
      <c r="D42" s="3"/>
      <c r="E42" s="30" t="s">
        <v>113</v>
      </c>
      <c r="F42" s="25">
        <f t="shared" si="2"/>
        <v>1.0900000000000001</v>
      </c>
      <c r="G42" s="25">
        <v>1.07</v>
      </c>
      <c r="H42" s="24" t="s">
        <v>114</v>
      </c>
      <c r="I42" s="40">
        <v>2.3E-2</v>
      </c>
      <c r="J42" s="40">
        <v>3.2000000000000001E-2</v>
      </c>
      <c r="K42" s="40">
        <f t="shared" si="3"/>
        <v>1.5000000000000062E-2</v>
      </c>
    </row>
    <row r="43" spans="1:11" x14ac:dyDescent="0.25">
      <c r="A43" s="19"/>
      <c r="B43" s="22" t="s">
        <v>121</v>
      </c>
      <c r="C43" s="8">
        <f>SUMIF(DIM!E:E,B43,DIM!O:O)</f>
        <v>0</v>
      </c>
      <c r="D43" s="3"/>
      <c r="E43" s="30" t="s">
        <v>113</v>
      </c>
      <c r="F43" s="25">
        <f t="shared" si="2"/>
        <v>1.0900000000000001</v>
      </c>
      <c r="G43" s="25">
        <v>1.07</v>
      </c>
      <c r="H43" s="24" t="s">
        <v>114</v>
      </c>
      <c r="I43" s="40">
        <v>2.3E-2</v>
      </c>
      <c r="J43" s="40">
        <v>3.2000000000000001E-2</v>
      </c>
      <c r="K43" s="40">
        <f t="shared" si="3"/>
        <v>1.5000000000000062E-2</v>
      </c>
    </row>
    <row r="44" spans="1:11" x14ac:dyDescent="0.25">
      <c r="A44" s="19"/>
      <c r="B44" s="22" t="s">
        <v>122</v>
      </c>
      <c r="C44" s="8">
        <f>SUMIF(DIM!E:E,B44,DIM!O:O)</f>
        <v>0</v>
      </c>
      <c r="D44" s="3"/>
      <c r="E44" s="30" t="s">
        <v>113</v>
      </c>
      <c r="F44" s="25">
        <f t="shared" si="2"/>
        <v>1.0900000000000001</v>
      </c>
      <c r="G44" s="25">
        <v>1.07</v>
      </c>
      <c r="H44" s="24" t="s">
        <v>114</v>
      </c>
      <c r="I44" s="40">
        <v>2.3E-2</v>
      </c>
      <c r="J44" s="40">
        <v>3.2000000000000001E-2</v>
      </c>
      <c r="K44" s="40">
        <f t="shared" si="3"/>
        <v>1.5000000000000062E-2</v>
      </c>
    </row>
    <row r="45" spans="1:11" x14ac:dyDescent="0.25">
      <c r="A45" s="19"/>
      <c r="B45" s="22" t="s">
        <v>123</v>
      </c>
      <c r="C45" s="8">
        <f>SUMIF(DIM!E:E,B45,DIM!O:O)</f>
        <v>0</v>
      </c>
      <c r="D45" s="3"/>
      <c r="E45" s="30" t="s">
        <v>113</v>
      </c>
      <c r="F45" s="25">
        <f t="shared" si="2"/>
        <v>1.0900000000000001</v>
      </c>
      <c r="G45" s="25">
        <v>1.07</v>
      </c>
      <c r="H45" s="24" t="s">
        <v>114</v>
      </c>
      <c r="I45" s="40">
        <v>2.3E-2</v>
      </c>
      <c r="J45" s="40">
        <v>3.2000000000000001E-2</v>
      </c>
      <c r="K45" s="40">
        <f t="shared" si="3"/>
        <v>1.5000000000000062E-2</v>
      </c>
    </row>
    <row r="46" spans="1:11" x14ac:dyDescent="0.25">
      <c r="A46" s="19"/>
      <c r="B46" s="22" t="s">
        <v>124</v>
      </c>
      <c r="C46" s="8">
        <f>SUMIF(DIM!E:E,B46,DIM!O:O)</f>
        <v>0</v>
      </c>
      <c r="D46" s="3"/>
      <c r="E46" s="30" t="s">
        <v>113</v>
      </c>
      <c r="F46" s="25">
        <f t="shared" si="2"/>
        <v>1.0900000000000001</v>
      </c>
      <c r="G46" s="25">
        <v>1.07</v>
      </c>
      <c r="H46" s="24" t="s">
        <v>114</v>
      </c>
      <c r="I46" s="40">
        <v>2.3E-2</v>
      </c>
      <c r="J46" s="40">
        <v>3.2000000000000001E-2</v>
      </c>
      <c r="K46" s="40">
        <f t="shared" si="3"/>
        <v>1.5000000000000062E-2</v>
      </c>
    </row>
    <row r="47" spans="1:11" x14ac:dyDescent="0.25">
      <c r="A47" s="19"/>
      <c r="B47" s="22" t="s">
        <v>125</v>
      </c>
      <c r="C47" s="8">
        <f>SUMIF(DIM!E:E,B47,DIM!O:O)</f>
        <v>0</v>
      </c>
      <c r="D47" s="3"/>
      <c r="E47" s="30" t="s">
        <v>113</v>
      </c>
      <c r="F47" s="25">
        <f>G47+0.02</f>
        <v>1.0900000000000001</v>
      </c>
      <c r="G47" s="25">
        <v>1.07</v>
      </c>
      <c r="H47" s="24" t="s">
        <v>114</v>
      </c>
      <c r="I47" s="40">
        <v>2.3E-2</v>
      </c>
      <c r="J47" s="40">
        <v>3.2000000000000001E-2</v>
      </c>
      <c r="K47" s="40">
        <f t="shared" si="3"/>
        <v>1.5000000000000062E-2</v>
      </c>
    </row>
    <row r="48" spans="1:11" x14ac:dyDescent="0.25">
      <c r="A48" s="19"/>
      <c r="B48" s="22" t="s">
        <v>126</v>
      </c>
      <c r="C48" s="8">
        <f>SUMIF(DIM!E:E,B48,DIM!O:O)</f>
        <v>0</v>
      </c>
      <c r="D48" s="3"/>
      <c r="E48" s="30" t="s">
        <v>113</v>
      </c>
      <c r="F48" s="25">
        <f t="shared" si="2"/>
        <v>1.0900000000000001</v>
      </c>
      <c r="G48" s="25">
        <v>1.07</v>
      </c>
      <c r="H48" s="24" t="s">
        <v>114</v>
      </c>
      <c r="I48" s="40">
        <v>2.3E-2</v>
      </c>
      <c r="J48" s="40">
        <v>3.2000000000000001E-2</v>
      </c>
      <c r="K48" s="40">
        <f t="shared" si="3"/>
        <v>1.5000000000000062E-2</v>
      </c>
    </row>
    <row r="49" spans="1:11" x14ac:dyDescent="0.25">
      <c r="A49" s="19"/>
      <c r="B49" s="22" t="s">
        <v>127</v>
      </c>
      <c r="C49" s="8">
        <f>SUMIF(DIM!E:E,B49,DIM!O:O)</f>
        <v>0</v>
      </c>
      <c r="D49" s="3"/>
      <c r="E49" s="30" t="s">
        <v>113</v>
      </c>
      <c r="F49" s="25">
        <f>G49+0.02</f>
        <v>1.0900000000000001</v>
      </c>
      <c r="G49" s="25">
        <v>1.07</v>
      </c>
      <c r="H49" s="24" t="s">
        <v>114</v>
      </c>
      <c r="I49" s="40">
        <v>2.3E-2</v>
      </c>
      <c r="J49" s="40">
        <v>3.2000000000000001E-2</v>
      </c>
      <c r="K49" s="40">
        <f t="shared" si="3"/>
        <v>1.5000000000000062E-2</v>
      </c>
    </row>
    <row r="50" spans="1:11" x14ac:dyDescent="0.25">
      <c r="A50" s="19"/>
      <c r="B50" s="22" t="s">
        <v>128</v>
      </c>
      <c r="C50" s="8">
        <f>SUMIF(DIM!E:E,B50,DIM!O:O)</f>
        <v>0</v>
      </c>
      <c r="D50" s="3"/>
      <c r="E50" s="30" t="s">
        <v>113</v>
      </c>
      <c r="F50" s="25">
        <f>G50+0.02</f>
        <v>1.0900000000000001</v>
      </c>
      <c r="G50" s="25">
        <v>1.07</v>
      </c>
      <c r="H50" s="24" t="s">
        <v>114</v>
      </c>
      <c r="I50" s="40">
        <v>2.3E-2</v>
      </c>
      <c r="J50" s="40">
        <v>3.2000000000000001E-2</v>
      </c>
      <c r="K50" s="40">
        <f t="shared" si="3"/>
        <v>1.5000000000000062E-2</v>
      </c>
    </row>
    <row r="51" spans="1:11" x14ac:dyDescent="0.25">
      <c r="A51" s="19"/>
      <c r="B51" s="22" t="s">
        <v>294</v>
      </c>
      <c r="C51" s="8">
        <f>SUMIF(DIM!E:E,B51,DIM!O:O)</f>
        <v>0</v>
      </c>
      <c r="D51" s="3"/>
      <c r="E51" s="30" t="s">
        <v>113</v>
      </c>
      <c r="F51" s="25">
        <f t="shared" ref="F51:F52" si="4">G51+0.02</f>
        <v>1.0900000000000001</v>
      </c>
      <c r="G51" s="25">
        <v>1.07</v>
      </c>
      <c r="H51" s="24" t="s">
        <v>114</v>
      </c>
      <c r="I51" s="40">
        <v>2.3E-2</v>
      </c>
      <c r="J51" s="40">
        <v>3.2000000000000001E-2</v>
      </c>
      <c r="K51" s="40">
        <f t="shared" si="3"/>
        <v>1.5000000000000062E-2</v>
      </c>
    </row>
    <row r="52" spans="1:11" x14ac:dyDescent="0.25">
      <c r="A52" s="19"/>
      <c r="B52" s="22" t="s">
        <v>295</v>
      </c>
      <c r="C52" s="8">
        <f>SUMIF(DIM!E:E,B52,DIM!O:O)</f>
        <v>0</v>
      </c>
      <c r="D52" s="3"/>
      <c r="E52" s="30" t="s">
        <v>113</v>
      </c>
      <c r="F52" s="25">
        <f t="shared" si="4"/>
        <v>1.0900000000000001</v>
      </c>
      <c r="G52" s="25">
        <v>1.07</v>
      </c>
      <c r="H52" s="24" t="s">
        <v>114</v>
      </c>
      <c r="I52" s="40">
        <v>2.3E-2</v>
      </c>
      <c r="J52" s="40">
        <v>3.2000000000000001E-2</v>
      </c>
      <c r="K52" s="40">
        <f t="shared" si="3"/>
        <v>1.5000000000000062E-2</v>
      </c>
    </row>
    <row r="53" spans="1:11" x14ac:dyDescent="0.25">
      <c r="A53" s="19"/>
      <c r="B53" s="22" t="s">
        <v>327</v>
      </c>
      <c r="C53" s="8">
        <f>SUMIF(DIM!E:E,B53,DIM!O:O)</f>
        <v>0</v>
      </c>
      <c r="D53" s="3"/>
      <c r="E53" s="30" t="s">
        <v>113</v>
      </c>
      <c r="F53" s="25">
        <f t="shared" ref="F53:F62" si="5">G53+0.02</f>
        <v>1.0900000000000001</v>
      </c>
      <c r="G53" s="25">
        <v>1.07</v>
      </c>
      <c r="H53" s="24" t="s">
        <v>114</v>
      </c>
      <c r="I53" s="40">
        <v>2.3E-2</v>
      </c>
      <c r="J53" s="40">
        <v>3.2000000000000001E-2</v>
      </c>
      <c r="K53" s="40">
        <f t="shared" si="3"/>
        <v>1.5000000000000062E-2</v>
      </c>
    </row>
    <row r="54" spans="1:11" x14ac:dyDescent="0.25">
      <c r="A54" s="19"/>
      <c r="B54" s="22" t="s">
        <v>328</v>
      </c>
      <c r="C54" s="8">
        <f>SUMIF(DIM!E:E,B54,DIM!O:O)</f>
        <v>0</v>
      </c>
      <c r="D54" s="3"/>
      <c r="E54" s="30" t="s">
        <v>113</v>
      </c>
      <c r="F54" s="25">
        <f t="shared" si="5"/>
        <v>1.0900000000000001</v>
      </c>
      <c r="G54" s="25">
        <v>1.07</v>
      </c>
      <c r="H54" s="24" t="s">
        <v>114</v>
      </c>
      <c r="I54" s="40">
        <v>2.3E-2</v>
      </c>
      <c r="J54" s="40">
        <v>3.2000000000000001E-2</v>
      </c>
      <c r="K54" s="40">
        <f t="shared" si="3"/>
        <v>1.5000000000000062E-2</v>
      </c>
    </row>
    <row r="55" spans="1:11" x14ac:dyDescent="0.25">
      <c r="A55" s="19"/>
      <c r="B55" s="22" t="s">
        <v>337</v>
      </c>
      <c r="C55" s="8">
        <f>SUMIF(DIM!E:E,B55,DIM!O:O)</f>
        <v>0</v>
      </c>
      <c r="D55" s="3"/>
      <c r="E55" s="30" t="s">
        <v>113</v>
      </c>
      <c r="F55" s="25">
        <f t="shared" si="5"/>
        <v>1.0900000000000001</v>
      </c>
      <c r="G55" s="25">
        <v>1.07</v>
      </c>
      <c r="H55" s="24" t="s">
        <v>114</v>
      </c>
      <c r="I55" s="40">
        <v>2.3E-2</v>
      </c>
      <c r="J55" s="40">
        <v>3.2000000000000001E-2</v>
      </c>
      <c r="K55" s="40">
        <f t="shared" si="3"/>
        <v>1.5000000000000062E-2</v>
      </c>
    </row>
    <row r="56" spans="1:11" x14ac:dyDescent="0.25">
      <c r="A56" s="19"/>
      <c r="B56" s="22" t="s">
        <v>336</v>
      </c>
      <c r="C56" s="8">
        <f>SUMIF(DIM!E:E,B56,DIM!O:O)</f>
        <v>0</v>
      </c>
      <c r="D56" s="3"/>
      <c r="E56" s="30" t="s">
        <v>113</v>
      </c>
      <c r="F56" s="25">
        <f t="shared" si="5"/>
        <v>1.0900000000000001</v>
      </c>
      <c r="G56" s="25">
        <v>1.07</v>
      </c>
      <c r="H56" s="24" t="s">
        <v>114</v>
      </c>
      <c r="I56" s="40">
        <v>2.3E-2</v>
      </c>
      <c r="J56" s="40">
        <v>3.2000000000000001E-2</v>
      </c>
      <c r="K56" s="40">
        <f t="shared" si="3"/>
        <v>1.5000000000000062E-2</v>
      </c>
    </row>
    <row r="57" spans="1:11" x14ac:dyDescent="0.25">
      <c r="A57" s="19"/>
      <c r="B57" s="22" t="s">
        <v>318</v>
      </c>
      <c r="C57" s="8">
        <f>SUMIF(DIM!E:E,B57,DIM!O:O)</f>
        <v>0</v>
      </c>
      <c r="D57" s="3"/>
      <c r="E57" s="30" t="s">
        <v>113</v>
      </c>
      <c r="F57" s="25">
        <f t="shared" ref="F57" si="6">G57+0.02</f>
        <v>1.0900000000000001</v>
      </c>
      <c r="G57" s="25">
        <v>1.07</v>
      </c>
      <c r="H57" s="24" t="s">
        <v>114</v>
      </c>
      <c r="I57" s="40">
        <v>2.3E-2</v>
      </c>
      <c r="J57" s="40">
        <v>3.2000000000000001E-2</v>
      </c>
      <c r="K57" s="40">
        <f t="shared" si="3"/>
        <v>1.5000000000000062E-2</v>
      </c>
    </row>
    <row r="58" spans="1:11" x14ac:dyDescent="0.25">
      <c r="A58" s="19"/>
      <c r="B58" s="22" t="s">
        <v>332</v>
      </c>
      <c r="C58" s="8">
        <f>SUMIF(DIM!E:E,B58,DIM!O:O)</f>
        <v>172255.29895602656</v>
      </c>
      <c r="D58" s="3"/>
      <c r="E58" s="30" t="s">
        <v>113</v>
      </c>
      <c r="F58" s="25">
        <f t="shared" si="5"/>
        <v>1.0900000000000001</v>
      </c>
      <c r="G58" s="25">
        <v>1.07</v>
      </c>
      <c r="H58" s="24" t="s">
        <v>114</v>
      </c>
      <c r="I58" s="40">
        <v>2.3E-2</v>
      </c>
      <c r="J58" s="40">
        <v>3.2000000000000001E-2</v>
      </c>
      <c r="K58" s="40">
        <f t="shared" si="3"/>
        <v>1.5000000000000062E-2</v>
      </c>
    </row>
    <row r="59" spans="1:11" x14ac:dyDescent="0.25">
      <c r="A59" s="19"/>
      <c r="B59" s="22" t="s">
        <v>319</v>
      </c>
      <c r="C59" s="8">
        <f>SUMIF(DIM!E:E,B59,DIM!O:O)</f>
        <v>0</v>
      </c>
      <c r="D59" s="3"/>
      <c r="E59" s="30" t="s">
        <v>113</v>
      </c>
      <c r="F59" s="25">
        <f t="shared" ref="F59:F61" si="7">G59+0.02</f>
        <v>1.0900000000000001</v>
      </c>
      <c r="G59" s="25">
        <v>1.07</v>
      </c>
      <c r="H59" s="24" t="s">
        <v>114</v>
      </c>
      <c r="I59" s="40">
        <v>2.3E-2</v>
      </c>
      <c r="J59" s="40">
        <v>3.2000000000000001E-2</v>
      </c>
      <c r="K59" s="40">
        <f t="shared" si="3"/>
        <v>1.5000000000000062E-2</v>
      </c>
    </row>
    <row r="60" spans="1:11" x14ac:dyDescent="0.25">
      <c r="A60" s="19"/>
      <c r="B60" s="22" t="s">
        <v>324</v>
      </c>
      <c r="C60" s="8">
        <f>SUMIF(DIM!E:E,B60,DIM!O:O)</f>
        <v>240627.38057576717</v>
      </c>
      <c r="D60" s="3"/>
      <c r="E60" s="30" t="s">
        <v>113</v>
      </c>
      <c r="F60" s="25">
        <f t="shared" si="7"/>
        <v>1.0900000000000001</v>
      </c>
      <c r="G60" s="25">
        <v>1.07</v>
      </c>
      <c r="H60" s="24" t="s">
        <v>114</v>
      </c>
      <c r="I60" s="40">
        <v>2.3E-2</v>
      </c>
      <c r="J60" s="40">
        <v>3.2000000000000001E-2</v>
      </c>
      <c r="K60" s="40">
        <f t="shared" si="3"/>
        <v>1.5000000000000062E-2</v>
      </c>
    </row>
    <row r="61" spans="1:11" x14ac:dyDescent="0.25">
      <c r="A61" s="19"/>
      <c r="B61" s="22" t="s">
        <v>339</v>
      </c>
      <c r="C61" s="8">
        <f>SUMIF(DIM!E:E,B61,DIM!O:O)</f>
        <v>0</v>
      </c>
      <c r="D61" s="3"/>
      <c r="E61" s="30" t="s">
        <v>113</v>
      </c>
      <c r="F61" s="25">
        <f t="shared" si="7"/>
        <v>1.0900000000000001</v>
      </c>
      <c r="G61" s="25">
        <v>1.07</v>
      </c>
      <c r="H61" s="24" t="s">
        <v>114</v>
      </c>
      <c r="I61" s="40">
        <v>2.3E-2</v>
      </c>
      <c r="J61" s="40">
        <v>3.2000000000000001E-2</v>
      </c>
      <c r="K61" s="40">
        <f t="shared" ref="K61" si="8">G61-1-I61-J61</f>
        <v>1.5000000000000062E-2</v>
      </c>
    </row>
    <row r="62" spans="1:11" x14ac:dyDescent="0.25">
      <c r="A62" s="19"/>
      <c r="B62" s="22" t="s">
        <v>417</v>
      </c>
      <c r="C62" s="8">
        <f>SUMIF(DIM!E:E,B62,DIM!O:O)</f>
        <v>1000391.4900347991</v>
      </c>
      <c r="D62" s="3"/>
      <c r="E62" s="30" t="s">
        <v>113</v>
      </c>
      <c r="F62" s="25">
        <f t="shared" si="5"/>
        <v>1.0900000000000001</v>
      </c>
      <c r="G62" s="25">
        <v>1.07</v>
      </c>
      <c r="H62" s="24" t="s">
        <v>114</v>
      </c>
      <c r="I62" s="40">
        <v>2.3E-2</v>
      </c>
      <c r="J62" s="40">
        <v>3.2000000000000001E-2</v>
      </c>
      <c r="K62" s="40">
        <f t="shared" si="3"/>
        <v>1.5000000000000062E-2</v>
      </c>
    </row>
    <row r="63" spans="1:11" x14ac:dyDescent="0.25">
      <c r="A63" s="19"/>
      <c r="B63" s="22" t="s">
        <v>129</v>
      </c>
      <c r="C63" s="8">
        <f>SUMIF(DIM!E:E,B63,DIM!O:O)</f>
        <v>0</v>
      </c>
      <c r="D63" s="3"/>
      <c r="E63" s="30" t="s">
        <v>130</v>
      </c>
      <c r="F63" s="25">
        <f t="shared" si="2"/>
        <v>1.0900000000000001</v>
      </c>
      <c r="G63" s="25">
        <v>1.07</v>
      </c>
      <c r="H63" s="24" t="s">
        <v>131</v>
      </c>
      <c r="I63" s="40">
        <v>2.3E-2</v>
      </c>
      <c r="J63" s="40">
        <v>3.2000000000000001E-2</v>
      </c>
      <c r="K63" s="40">
        <f t="shared" si="3"/>
        <v>1.5000000000000062E-2</v>
      </c>
    </row>
    <row r="64" spans="1:11" x14ac:dyDescent="0.25">
      <c r="A64" s="19"/>
      <c r="B64" s="22" t="s">
        <v>132</v>
      </c>
      <c r="C64" s="8">
        <f>SUMIF(DIM!E:E,B64,DIM!O:O)</f>
        <v>0</v>
      </c>
      <c r="D64" s="3"/>
      <c r="E64" s="30" t="s">
        <v>130</v>
      </c>
      <c r="F64" s="25">
        <f t="shared" si="2"/>
        <v>1.0900000000000001</v>
      </c>
      <c r="G64" s="25">
        <v>1.07</v>
      </c>
      <c r="H64" s="24" t="s">
        <v>131</v>
      </c>
      <c r="I64" s="40">
        <v>2.3E-2</v>
      </c>
      <c r="J64" s="40">
        <v>3.2000000000000001E-2</v>
      </c>
      <c r="K64" s="40">
        <f t="shared" si="3"/>
        <v>1.5000000000000062E-2</v>
      </c>
    </row>
    <row r="65" spans="1:11" x14ac:dyDescent="0.25">
      <c r="A65" s="19"/>
      <c r="B65" s="22" t="s">
        <v>133</v>
      </c>
      <c r="C65" s="8">
        <f>SUMIF(DIM!E:E,B65,DIM!O:O)</f>
        <v>0</v>
      </c>
      <c r="D65" s="3"/>
      <c r="E65" s="30" t="s">
        <v>130</v>
      </c>
      <c r="F65" s="25">
        <f t="shared" si="2"/>
        <v>1.1000000000000001</v>
      </c>
      <c r="G65" s="25">
        <v>1.08</v>
      </c>
      <c r="H65" s="24" t="s">
        <v>131</v>
      </c>
      <c r="I65" s="40">
        <v>2.3E-2</v>
      </c>
      <c r="J65" s="40">
        <v>3.2000000000000001E-2</v>
      </c>
      <c r="K65" s="40">
        <f t="shared" si="3"/>
        <v>2.5000000000000071E-2</v>
      </c>
    </row>
    <row r="66" spans="1:11" x14ac:dyDescent="0.25">
      <c r="A66" s="19"/>
      <c r="B66" s="22" t="s">
        <v>134</v>
      </c>
      <c r="C66" s="8">
        <f>SUMIF(DIM!E:E,B66,DIM!O:O)</f>
        <v>0</v>
      </c>
      <c r="D66" s="3"/>
      <c r="E66" s="30" t="s">
        <v>130</v>
      </c>
      <c r="F66" s="25">
        <f t="shared" si="2"/>
        <v>1.1000000000000001</v>
      </c>
      <c r="G66" s="25">
        <v>1.08</v>
      </c>
      <c r="H66" s="24" t="s">
        <v>131</v>
      </c>
      <c r="I66" s="40">
        <v>2.3E-2</v>
      </c>
      <c r="J66" s="40">
        <v>3.2000000000000001E-2</v>
      </c>
      <c r="K66" s="40">
        <f t="shared" si="3"/>
        <v>2.5000000000000071E-2</v>
      </c>
    </row>
    <row r="67" spans="1:11" x14ac:dyDescent="0.25">
      <c r="A67" s="19"/>
      <c r="B67" s="22" t="s">
        <v>345</v>
      </c>
      <c r="C67" s="8">
        <f>SUMIF(DIM!E:E,B67,DIM!O:O)</f>
        <v>0</v>
      </c>
      <c r="D67" s="3"/>
      <c r="E67" s="30" t="s">
        <v>348</v>
      </c>
      <c r="F67" s="25">
        <f t="shared" ref="F67:F69" si="9">G67+0.02</f>
        <v>1.1000000000000001</v>
      </c>
      <c r="G67" s="25">
        <v>1.08</v>
      </c>
      <c r="H67" s="24" t="s">
        <v>349</v>
      </c>
      <c r="I67" s="40">
        <v>2.3E-2</v>
      </c>
      <c r="J67" s="40">
        <v>3.2000000000000001E-2</v>
      </c>
      <c r="K67" s="40">
        <f t="shared" ref="K67:K69" si="10">G67-1-I67-J67</f>
        <v>2.5000000000000071E-2</v>
      </c>
    </row>
    <row r="68" spans="1:11" x14ac:dyDescent="0.25">
      <c r="A68" s="19"/>
      <c r="B68" s="22" t="s">
        <v>346</v>
      </c>
      <c r="C68" s="8">
        <f>SUMIF(DIM!E:E,B68,DIM!O:O)</f>
        <v>0</v>
      </c>
      <c r="D68" s="3"/>
      <c r="E68" s="30" t="s">
        <v>348</v>
      </c>
      <c r="F68" s="25">
        <f t="shared" ref="F68" si="11">G68+0.02</f>
        <v>1.1000000000000001</v>
      </c>
      <c r="G68" s="25">
        <v>1.08</v>
      </c>
      <c r="H68" s="24" t="s">
        <v>349</v>
      </c>
      <c r="I68" s="40">
        <v>2.3E-2</v>
      </c>
      <c r="J68" s="40">
        <v>3.2000000000000001E-2</v>
      </c>
      <c r="K68" s="40">
        <f t="shared" ref="K68" si="12">G68-1-I68-J68</f>
        <v>2.5000000000000071E-2</v>
      </c>
    </row>
    <row r="69" spans="1:11" x14ac:dyDescent="0.25">
      <c r="A69" s="19"/>
      <c r="B69" s="22" t="s">
        <v>394</v>
      </c>
      <c r="C69" s="8">
        <f>SUMIF(DIM!E:E,B69,DIM!O:O)</f>
        <v>925102.83699059556</v>
      </c>
      <c r="D69" s="3"/>
      <c r="E69" s="30" t="s">
        <v>348</v>
      </c>
      <c r="F69" s="25">
        <f t="shared" si="9"/>
        <v>1.1000000000000001</v>
      </c>
      <c r="G69" s="25">
        <v>1.08</v>
      </c>
      <c r="H69" s="24" t="s">
        <v>349</v>
      </c>
      <c r="I69" s="40">
        <v>2.3E-2</v>
      </c>
      <c r="J69" s="40">
        <v>3.2000000000000001E-2</v>
      </c>
      <c r="K69" s="40">
        <f t="shared" si="10"/>
        <v>2.5000000000000071E-2</v>
      </c>
    </row>
    <row r="70" spans="1:11" x14ac:dyDescent="0.25">
      <c r="A70" s="19"/>
      <c r="B70" s="22" t="s">
        <v>135</v>
      </c>
      <c r="C70" s="8">
        <f>SUMIF(DIM!E:E,B70,DIM!O:O)</f>
        <v>0</v>
      </c>
      <c r="D70" s="3"/>
      <c r="E70" s="30" t="s">
        <v>130</v>
      </c>
      <c r="F70" s="25">
        <f t="shared" si="2"/>
        <v>1.1000000000000001</v>
      </c>
      <c r="G70" s="25">
        <v>1.08</v>
      </c>
      <c r="H70" s="24" t="s">
        <v>131</v>
      </c>
      <c r="I70" s="40">
        <v>2.3E-2</v>
      </c>
      <c r="J70" s="40">
        <v>3.2000000000000001E-2</v>
      </c>
      <c r="K70" s="40">
        <f t="shared" si="3"/>
        <v>2.5000000000000071E-2</v>
      </c>
    </row>
    <row r="71" spans="1:11" x14ac:dyDescent="0.25">
      <c r="A71" s="19"/>
      <c r="B71" s="22" t="s">
        <v>136</v>
      </c>
      <c r="C71" s="8">
        <f>SUMIF(DIM!E:E,B71,DIM!O:O)</f>
        <v>0</v>
      </c>
      <c r="D71" s="3"/>
      <c r="E71" s="30" t="s">
        <v>130</v>
      </c>
      <c r="F71" s="25">
        <f t="shared" si="2"/>
        <v>1.1000000000000001</v>
      </c>
      <c r="G71" s="25">
        <v>1.08</v>
      </c>
      <c r="H71" s="24" t="s">
        <v>131</v>
      </c>
      <c r="I71" s="40">
        <v>2.3E-2</v>
      </c>
      <c r="J71" s="40">
        <v>3.2000000000000001E-2</v>
      </c>
      <c r="K71" s="40">
        <f t="shared" si="3"/>
        <v>2.5000000000000071E-2</v>
      </c>
    </row>
    <row r="72" spans="1:11" x14ac:dyDescent="0.25">
      <c r="A72" s="3"/>
      <c r="B72" s="22" t="s">
        <v>137</v>
      </c>
      <c r="C72" s="8">
        <f>SUMIF(DIM!E:E,B72,DIM!O:O)</f>
        <v>0</v>
      </c>
      <c r="D72" s="3"/>
      <c r="E72" s="30" t="s">
        <v>130</v>
      </c>
      <c r="F72" s="25">
        <f t="shared" si="2"/>
        <v>1.0900000000000001</v>
      </c>
      <c r="G72" s="25">
        <v>1.07</v>
      </c>
      <c r="H72" s="24" t="s">
        <v>131</v>
      </c>
      <c r="I72" s="40">
        <v>2.3E-2</v>
      </c>
      <c r="J72" s="40">
        <v>3.2000000000000001E-2</v>
      </c>
      <c r="K72" s="40">
        <f t="shared" si="3"/>
        <v>1.5000000000000062E-2</v>
      </c>
    </row>
    <row r="73" spans="1:11" x14ac:dyDescent="0.25">
      <c r="A73" s="3"/>
      <c r="B73" s="22" t="s">
        <v>138</v>
      </c>
      <c r="C73" s="8">
        <f>SUMIF(DIM!E:E,B73,DIM!O:O)</f>
        <v>0</v>
      </c>
      <c r="D73" s="3"/>
      <c r="E73" s="30" t="s">
        <v>130</v>
      </c>
      <c r="F73" s="25">
        <f t="shared" si="2"/>
        <v>1.0900000000000001</v>
      </c>
      <c r="G73" s="25">
        <v>1.07</v>
      </c>
      <c r="H73" s="24" t="s">
        <v>131</v>
      </c>
      <c r="I73" s="40">
        <v>2.3E-2</v>
      </c>
      <c r="J73" s="40">
        <v>3.2000000000000001E-2</v>
      </c>
      <c r="K73" s="40">
        <f t="shared" si="3"/>
        <v>1.5000000000000062E-2</v>
      </c>
    </row>
    <row r="74" spans="1:11" x14ac:dyDescent="0.25">
      <c r="A74" s="3"/>
      <c r="B74" s="22" t="s">
        <v>139</v>
      </c>
      <c r="C74" s="8">
        <f>SUMIF(DIM!E:E,B74,DIM!O:O)</f>
        <v>0</v>
      </c>
      <c r="D74" s="3"/>
      <c r="E74" s="30" t="s">
        <v>130</v>
      </c>
      <c r="F74" s="25">
        <f t="shared" si="2"/>
        <v>1.0900000000000001</v>
      </c>
      <c r="G74" s="25">
        <v>1.07</v>
      </c>
      <c r="H74" s="24" t="s">
        <v>131</v>
      </c>
      <c r="I74" s="40">
        <v>2.3E-2</v>
      </c>
      <c r="J74" s="40">
        <v>3.2000000000000001E-2</v>
      </c>
      <c r="K74" s="40">
        <f t="shared" si="3"/>
        <v>1.5000000000000062E-2</v>
      </c>
    </row>
    <row r="75" spans="1:11" x14ac:dyDescent="0.25">
      <c r="A75" s="3"/>
      <c r="B75" s="22" t="s">
        <v>140</v>
      </c>
      <c r="C75" s="8">
        <f>SUMIF(DIM!E:E,B75,DIM!O:O)</f>
        <v>0</v>
      </c>
      <c r="D75" s="3"/>
      <c r="E75" s="30" t="s">
        <v>130</v>
      </c>
      <c r="F75" s="25">
        <f t="shared" si="2"/>
        <v>1.0900000000000001</v>
      </c>
      <c r="G75" s="25">
        <v>1.07</v>
      </c>
      <c r="H75" s="24" t="s">
        <v>131</v>
      </c>
      <c r="I75" s="40">
        <v>2.3E-2</v>
      </c>
      <c r="J75" s="40">
        <v>3.2000000000000001E-2</v>
      </c>
      <c r="K75" s="40">
        <f t="shared" si="3"/>
        <v>1.5000000000000062E-2</v>
      </c>
    </row>
    <row r="76" spans="1:11" x14ac:dyDescent="0.25">
      <c r="A76" s="3"/>
      <c r="B76" s="22" t="s">
        <v>141</v>
      </c>
      <c r="C76" s="8">
        <f>SUMIF(DIM!E:E,B76,DIM!O:O)</f>
        <v>0</v>
      </c>
      <c r="D76" s="3"/>
      <c r="E76" s="30" t="s">
        <v>142</v>
      </c>
      <c r="F76" s="31">
        <f t="shared" si="2"/>
        <v>1.0900000000000001</v>
      </c>
      <c r="G76" s="31">
        <v>1.07</v>
      </c>
      <c r="H76" s="24" t="s">
        <v>143</v>
      </c>
      <c r="I76" s="40">
        <v>2.3E-2</v>
      </c>
      <c r="J76" s="40">
        <v>3.2000000000000001E-2</v>
      </c>
      <c r="K76" s="40">
        <f t="shared" si="3"/>
        <v>1.5000000000000062E-2</v>
      </c>
    </row>
    <row r="77" spans="1:11" x14ac:dyDescent="0.25">
      <c r="A77" s="3"/>
      <c r="B77" s="22" t="s">
        <v>144</v>
      </c>
      <c r="C77" s="8">
        <f>SUMIF(DIM!E:E,B77,DIM!O:O)</f>
        <v>0</v>
      </c>
      <c r="D77" s="3"/>
      <c r="E77" s="30" t="s">
        <v>142</v>
      </c>
      <c r="F77" s="31">
        <f t="shared" si="2"/>
        <v>1.0900000000000001</v>
      </c>
      <c r="G77" s="31">
        <v>1.07</v>
      </c>
      <c r="H77" s="24" t="s">
        <v>143</v>
      </c>
      <c r="I77" s="40">
        <v>2.3E-2</v>
      </c>
      <c r="J77" s="40">
        <v>3.2000000000000001E-2</v>
      </c>
      <c r="K77" s="40">
        <f t="shared" si="3"/>
        <v>1.5000000000000062E-2</v>
      </c>
    </row>
    <row r="78" spans="1:11" x14ac:dyDescent="0.25">
      <c r="A78" s="3"/>
      <c r="B78" s="22" t="s">
        <v>145</v>
      </c>
      <c r="C78" s="8">
        <f>SUMIF(DIM!E:E,B78,DIM!O:O)</f>
        <v>0</v>
      </c>
      <c r="D78" s="3"/>
      <c r="E78" s="30" t="s">
        <v>142</v>
      </c>
      <c r="F78" s="25">
        <f t="shared" si="2"/>
        <v>1.0900000000000001</v>
      </c>
      <c r="G78" s="25">
        <v>1.07</v>
      </c>
      <c r="H78" s="24" t="s">
        <v>143</v>
      </c>
      <c r="I78" s="40">
        <v>2.3E-2</v>
      </c>
      <c r="J78" s="40">
        <v>3.2000000000000001E-2</v>
      </c>
      <c r="K78" s="40">
        <f t="shared" si="3"/>
        <v>1.5000000000000062E-2</v>
      </c>
    </row>
    <row r="79" spans="1:11" x14ac:dyDescent="0.25">
      <c r="A79" s="3"/>
      <c r="B79" s="22" t="s">
        <v>146</v>
      </c>
      <c r="C79" s="8">
        <f>SUMIF(DIM!E:E,B79,DIM!O:O)</f>
        <v>0</v>
      </c>
      <c r="D79" s="3"/>
      <c r="E79" s="30" t="s">
        <v>142</v>
      </c>
      <c r="F79" s="31">
        <f t="shared" si="2"/>
        <v>1.0900000000000001</v>
      </c>
      <c r="G79" s="31">
        <v>1.07</v>
      </c>
      <c r="H79" s="24" t="s">
        <v>143</v>
      </c>
      <c r="I79" s="40">
        <v>2.3E-2</v>
      </c>
      <c r="J79" s="40">
        <v>3.2000000000000001E-2</v>
      </c>
      <c r="K79" s="40">
        <f t="shared" si="3"/>
        <v>1.5000000000000062E-2</v>
      </c>
    </row>
    <row r="80" spans="1:11" x14ac:dyDescent="0.25">
      <c r="A80" s="3"/>
      <c r="B80" s="22" t="s">
        <v>147</v>
      </c>
      <c r="C80" s="8">
        <f>SUMIF(DIM!E:E,B80,DIM!O:O)</f>
        <v>0</v>
      </c>
      <c r="D80" s="3"/>
      <c r="E80" s="30" t="s">
        <v>142</v>
      </c>
      <c r="F80" s="31">
        <f t="shared" si="2"/>
        <v>1.0900000000000001</v>
      </c>
      <c r="G80" s="31">
        <v>1.07</v>
      </c>
      <c r="H80" s="24" t="s">
        <v>143</v>
      </c>
      <c r="I80" s="40">
        <v>2.3E-2</v>
      </c>
      <c r="J80" s="40">
        <v>3.2000000000000001E-2</v>
      </c>
      <c r="K80" s="40">
        <f t="shared" si="3"/>
        <v>1.5000000000000062E-2</v>
      </c>
    </row>
    <row r="81" spans="1:11" x14ac:dyDescent="0.25">
      <c r="A81" s="3"/>
      <c r="B81" s="22" t="s">
        <v>148</v>
      </c>
      <c r="C81" s="8">
        <f>SUMIF(DIM!E:E,B81,DIM!O:O)</f>
        <v>-23520.879468522617</v>
      </c>
      <c r="D81" s="3"/>
      <c r="E81" s="30" t="s">
        <v>142</v>
      </c>
      <c r="F81" s="25">
        <f t="shared" si="2"/>
        <v>1.0900000000000001</v>
      </c>
      <c r="G81" s="25">
        <v>1.07</v>
      </c>
      <c r="H81" s="24" t="s">
        <v>143</v>
      </c>
      <c r="I81" s="40">
        <v>2.3E-2</v>
      </c>
      <c r="J81" s="40">
        <v>3.2000000000000001E-2</v>
      </c>
      <c r="K81" s="40">
        <f t="shared" si="3"/>
        <v>1.5000000000000062E-2</v>
      </c>
    </row>
    <row r="82" spans="1:11" x14ac:dyDescent="0.25">
      <c r="A82" s="3"/>
      <c r="B82" s="28" t="s">
        <v>149</v>
      </c>
      <c r="C82" s="12">
        <f>SUBTOTAL(9,C23:C81)</f>
        <v>2320924.5771670188</v>
      </c>
      <c r="D82" s="3"/>
      <c r="E82" s="30"/>
      <c r="F82" s="3"/>
      <c r="G82" s="3"/>
      <c r="H82" s="3"/>
      <c r="I82" s="40"/>
      <c r="J82" s="40"/>
      <c r="K82" s="40"/>
    </row>
    <row r="83" spans="1:11" x14ac:dyDescent="0.25">
      <c r="A83" s="3"/>
      <c r="B83" s="3"/>
      <c r="C83" s="3"/>
      <c r="D83" s="3"/>
      <c r="E83" s="30"/>
      <c r="F83" s="3"/>
      <c r="G83" s="3"/>
      <c r="H83" s="3"/>
      <c r="I83" s="40"/>
      <c r="J83" s="40"/>
      <c r="K83" s="40"/>
    </row>
    <row r="84" spans="1:11" x14ac:dyDescent="0.25">
      <c r="A84" s="3"/>
      <c r="B84" s="23" t="s">
        <v>150</v>
      </c>
      <c r="C84" s="8">
        <f>SUMIF(DIM!E:E,B84,DIM!O:O)</f>
        <v>0</v>
      </c>
      <c r="D84" s="3"/>
      <c r="E84" s="30" t="s">
        <v>151</v>
      </c>
      <c r="F84" s="25">
        <f t="shared" ref="F84:F89" si="13">G84+0.02</f>
        <v>1.105</v>
      </c>
      <c r="G84" s="25">
        <v>1.085</v>
      </c>
      <c r="H84" s="24">
        <v>0</v>
      </c>
      <c r="I84" s="40">
        <v>2.3E-2</v>
      </c>
      <c r="J84" s="40">
        <v>3.2000000000000001E-2</v>
      </c>
      <c r="K84" s="40">
        <f t="shared" si="3"/>
        <v>2.9999999999999964E-2</v>
      </c>
    </row>
    <row r="85" spans="1:11" x14ac:dyDescent="0.25">
      <c r="A85" s="3"/>
      <c r="B85" s="23" t="s">
        <v>152</v>
      </c>
      <c r="C85" s="8">
        <f>SUMIF(DIM!E:E,B85,DIM!O:O)</f>
        <v>0</v>
      </c>
      <c r="D85" s="3"/>
      <c r="E85" s="30" t="s">
        <v>153</v>
      </c>
      <c r="F85" s="25">
        <f t="shared" si="13"/>
        <v>1.105</v>
      </c>
      <c r="G85" s="25">
        <v>1.085</v>
      </c>
      <c r="H85" s="24">
        <v>0</v>
      </c>
      <c r="I85" s="40">
        <v>2.3E-2</v>
      </c>
      <c r="J85" s="40">
        <v>3.2000000000000001E-2</v>
      </c>
      <c r="K85" s="40">
        <f t="shared" si="3"/>
        <v>2.9999999999999964E-2</v>
      </c>
    </row>
    <row r="86" spans="1:11" x14ac:dyDescent="0.25">
      <c r="A86" s="3"/>
      <c r="B86" s="23" t="s">
        <v>154</v>
      </c>
      <c r="C86" s="8">
        <f>SUMIF(DIM!E:E,B86,DIM!O:O)</f>
        <v>6765.8960878305252</v>
      </c>
      <c r="D86" s="3"/>
      <c r="E86" s="30" t="s">
        <v>155</v>
      </c>
      <c r="F86" s="25">
        <f t="shared" si="13"/>
        <v>1.115</v>
      </c>
      <c r="G86" s="25">
        <v>1.095</v>
      </c>
      <c r="H86" s="24">
        <v>0</v>
      </c>
      <c r="I86" s="40">
        <v>2.3E-2</v>
      </c>
      <c r="J86" s="40">
        <v>3.2000000000000001E-2</v>
      </c>
      <c r="K86" s="40">
        <f t="shared" si="3"/>
        <v>3.999999999999998E-2</v>
      </c>
    </row>
    <row r="87" spans="1:11" x14ac:dyDescent="0.25">
      <c r="A87" s="3"/>
      <c r="B87" s="23" t="s">
        <v>156</v>
      </c>
      <c r="C87" s="8">
        <f>SUMIF(DIM!E:E,B87,DIM!O:O)</f>
        <v>2420857.3140559765</v>
      </c>
      <c r="D87" s="3"/>
      <c r="E87" s="30" t="s">
        <v>157</v>
      </c>
      <c r="F87" s="25">
        <f t="shared" si="13"/>
        <v>1.115</v>
      </c>
      <c r="G87" s="25">
        <v>1.095</v>
      </c>
      <c r="H87" s="24">
        <v>0</v>
      </c>
      <c r="I87" s="40">
        <v>2.3E-2</v>
      </c>
      <c r="J87" s="40">
        <v>3.2000000000000001E-2</v>
      </c>
      <c r="K87" s="40">
        <f t="shared" si="3"/>
        <v>3.999999999999998E-2</v>
      </c>
    </row>
    <row r="88" spans="1:11" x14ac:dyDescent="0.25">
      <c r="A88" s="3"/>
      <c r="B88" s="22" t="s">
        <v>158</v>
      </c>
      <c r="C88" s="8">
        <f>SUMIF(DIM!E:E,B88,DIM!O:O)</f>
        <v>0</v>
      </c>
      <c r="D88" s="3"/>
      <c r="E88" s="30" t="s">
        <v>113</v>
      </c>
      <c r="F88" s="25">
        <f t="shared" si="13"/>
        <v>1.1000000000000001</v>
      </c>
      <c r="G88" s="25">
        <v>1.08</v>
      </c>
      <c r="H88" s="24">
        <v>0</v>
      </c>
      <c r="I88" s="40">
        <v>2.3E-2</v>
      </c>
      <c r="J88" s="40">
        <v>3.2000000000000001E-2</v>
      </c>
      <c r="K88" s="40">
        <f t="shared" si="3"/>
        <v>2.5000000000000071E-2</v>
      </c>
    </row>
    <row r="89" spans="1:11" x14ac:dyDescent="0.25">
      <c r="A89" s="19"/>
      <c r="B89" s="22" t="s">
        <v>291</v>
      </c>
      <c r="C89" s="8">
        <f>SUMIF(DIM!E:E,B89,DIM!O:O)</f>
        <v>791332.66371401469</v>
      </c>
      <c r="D89" s="3"/>
      <c r="E89" s="30" t="s">
        <v>322</v>
      </c>
      <c r="F89" s="25">
        <f t="shared" si="13"/>
        <v>1.0900000000000001</v>
      </c>
      <c r="G89" s="25">
        <v>1.07</v>
      </c>
      <c r="H89" s="30" t="s">
        <v>291</v>
      </c>
      <c r="I89" s="40">
        <v>2.3E-2</v>
      </c>
      <c r="J89" s="40">
        <v>3.2000000000000001E-2</v>
      </c>
      <c r="K89" s="40">
        <f t="shared" si="3"/>
        <v>1.5000000000000062E-2</v>
      </c>
    </row>
    <row r="90" spans="1:11" x14ac:dyDescent="0.25">
      <c r="A90" s="3"/>
      <c r="B90" s="3"/>
      <c r="C90" s="3"/>
      <c r="D90" s="3"/>
      <c r="E90" s="30"/>
      <c r="F90" s="3"/>
      <c r="G90" s="3"/>
      <c r="H90" s="3"/>
      <c r="I90" s="3"/>
      <c r="J90" s="3"/>
    </row>
    <row r="91" spans="1:11" x14ac:dyDescent="0.25">
      <c r="A91" s="3"/>
      <c r="B91" s="3"/>
      <c r="C91" s="3"/>
      <c r="D91" s="3"/>
      <c r="E91" s="30"/>
      <c r="F91" s="3"/>
      <c r="G91" s="3"/>
      <c r="H91" s="3"/>
      <c r="I91" s="3"/>
      <c r="J91" s="3"/>
    </row>
    <row r="92" spans="1:11" x14ac:dyDescent="0.25">
      <c r="A92" s="32" t="s">
        <v>159</v>
      </c>
      <c r="B92" s="32" t="s">
        <v>160</v>
      </c>
      <c r="C92" s="33"/>
      <c r="D92" s="3"/>
      <c r="E92" s="30"/>
      <c r="F92" s="3"/>
      <c r="G92" s="3"/>
      <c r="H92" s="3"/>
      <c r="I92" s="3"/>
      <c r="J92" s="3"/>
    </row>
    <row r="93" spans="1:11" x14ac:dyDescent="0.25">
      <c r="A93" s="19"/>
      <c r="B93" s="13" t="s">
        <v>161</v>
      </c>
      <c r="C93" s="8">
        <f>SUMIF(DIM!E:E,B93,DIM!O:O)</f>
        <v>0</v>
      </c>
      <c r="D93" s="3"/>
      <c r="E93" s="30" t="s">
        <v>161</v>
      </c>
      <c r="F93" s="3"/>
      <c r="G93" s="3"/>
      <c r="H93" s="3"/>
      <c r="I93" s="40">
        <v>2.3E-2</v>
      </c>
      <c r="J93" s="40">
        <v>3.2000000000000001E-2</v>
      </c>
      <c r="K93" s="40">
        <f t="shared" ref="K93" si="14">G93-1-I93-J93</f>
        <v>-1.0549999999999999</v>
      </c>
    </row>
    <row r="94" spans="1:11" x14ac:dyDescent="0.25">
      <c r="A94" s="19"/>
      <c r="B94" s="13"/>
      <c r="C94" s="8">
        <f>SUMIF(DIM!E:E,B94,DIM!O:O)</f>
        <v>0</v>
      </c>
      <c r="D94" s="3"/>
      <c r="E94" s="30"/>
      <c r="F94" s="3"/>
      <c r="G94" s="3"/>
      <c r="H94" s="3"/>
      <c r="I94" s="3"/>
      <c r="J94" s="3"/>
    </row>
    <row r="95" spans="1:11" x14ac:dyDescent="0.25">
      <c r="A95" s="29"/>
      <c r="B95" s="34"/>
      <c r="C95" s="12">
        <f>SUBTOTAL(9,C93:C94)</f>
        <v>0</v>
      </c>
      <c r="D95" s="4" t="s">
        <v>5</v>
      </c>
      <c r="E95" s="30"/>
      <c r="F95" s="3"/>
      <c r="G95" s="3"/>
      <c r="H95" s="3"/>
      <c r="I95" s="3"/>
      <c r="J95" s="3"/>
    </row>
    <row r="96" spans="1:11" x14ac:dyDescent="0.25">
      <c r="A96" s="3"/>
      <c r="B96" s="3"/>
      <c r="C96" s="3"/>
      <c r="D96" s="3"/>
      <c r="E96" s="30"/>
      <c r="F96" s="3"/>
      <c r="G96" s="3"/>
      <c r="H96" s="3"/>
      <c r="I96" s="3"/>
      <c r="J96" s="3"/>
    </row>
    <row r="97" spans="1:11" x14ac:dyDescent="0.25">
      <c r="A97" s="32" t="s">
        <v>159</v>
      </c>
      <c r="B97" s="32" t="s">
        <v>160</v>
      </c>
      <c r="C97" s="33"/>
      <c r="D97" s="3"/>
      <c r="E97" s="30"/>
      <c r="F97" s="3"/>
      <c r="G97" s="3"/>
      <c r="H97" s="3"/>
      <c r="I97" s="3"/>
      <c r="J97" s="3"/>
    </row>
    <row r="98" spans="1:11" x14ac:dyDescent="0.25">
      <c r="A98" s="19"/>
      <c r="B98" s="13" t="s">
        <v>162</v>
      </c>
      <c r="C98" s="8">
        <f>SUMIF(DIM!E:E,B98,DIM!O:O)</f>
        <v>0</v>
      </c>
      <c r="D98" s="3"/>
      <c r="E98" s="30" t="s">
        <v>163</v>
      </c>
      <c r="F98" s="3"/>
      <c r="G98" s="3"/>
      <c r="H98" s="3"/>
      <c r="I98" s="3"/>
      <c r="J98" s="3"/>
    </row>
    <row r="99" spans="1:11" x14ac:dyDescent="0.25">
      <c r="A99" s="19"/>
      <c r="B99" s="13" t="s">
        <v>306</v>
      </c>
      <c r="C99" s="8">
        <f>SUMIF(DIM!E:E,B99,DIM!O:O)</f>
        <v>0</v>
      </c>
      <c r="D99" s="3"/>
      <c r="E99" s="30" t="s">
        <v>306</v>
      </c>
      <c r="F99" s="25">
        <v>1.1499999999999999</v>
      </c>
      <c r="G99" s="25">
        <f>F99</f>
        <v>1.1499999999999999</v>
      </c>
      <c r="H99" s="3"/>
      <c r="I99" s="40">
        <v>2.3E-2</v>
      </c>
      <c r="J99" s="40">
        <v>3.2000000000000001E-2</v>
      </c>
      <c r="K99" s="40">
        <f t="shared" ref="K99" si="15">G99-1-I99-J99</f>
        <v>9.4999999999999918E-2</v>
      </c>
    </row>
    <row r="100" spans="1:11" x14ac:dyDescent="0.25">
      <c r="A100" s="19"/>
      <c r="B100" s="13" t="s">
        <v>164</v>
      </c>
      <c r="C100" s="8">
        <f>SUMIF(DIM!E:E,B100,DIM!O:O)</f>
        <v>0</v>
      </c>
      <c r="D100" s="3"/>
      <c r="E100" s="30" t="s">
        <v>164</v>
      </c>
      <c r="F100" s="25">
        <v>1.1200000000000001</v>
      </c>
      <c r="G100" s="25">
        <v>1.1200000000000001</v>
      </c>
      <c r="H100" s="3"/>
      <c r="I100" s="3"/>
      <c r="J100" s="3"/>
    </row>
    <row r="101" spans="1:11" x14ac:dyDescent="0.25">
      <c r="A101" s="19"/>
      <c r="B101" s="13" t="s">
        <v>165</v>
      </c>
      <c r="C101" s="8">
        <f>SUMIF(DIM!E:E,B101,DIM!O:O)</f>
        <v>0</v>
      </c>
      <c r="D101" s="3"/>
      <c r="E101" s="30" t="s">
        <v>164</v>
      </c>
      <c r="F101" s="25">
        <v>1.1200000000000001</v>
      </c>
      <c r="G101" s="25">
        <v>1.1200000000000001</v>
      </c>
      <c r="H101" s="3"/>
      <c r="I101" s="3"/>
      <c r="J101" s="3"/>
    </row>
    <row r="102" spans="1:11" x14ac:dyDescent="0.25">
      <c r="A102" s="19"/>
      <c r="B102" s="13" t="s">
        <v>271</v>
      </c>
      <c r="C102" s="8">
        <f>SUMIF(DIM!E:E,B102,DIM!O:O)</f>
        <v>0</v>
      </c>
      <c r="D102" s="3"/>
      <c r="E102" s="30" t="s">
        <v>164</v>
      </c>
      <c r="F102" s="25">
        <v>1.1200000000000001</v>
      </c>
      <c r="G102" s="25">
        <v>1.1200000000000001</v>
      </c>
      <c r="H102" s="3"/>
      <c r="I102" s="3"/>
      <c r="J102" s="3"/>
    </row>
    <row r="103" spans="1:11" x14ac:dyDescent="0.25">
      <c r="A103" s="19"/>
      <c r="B103" s="13" t="s">
        <v>285</v>
      </c>
      <c r="C103" s="8">
        <f>SUMIF(DIM!E:E,B103,DIM!O:O)</f>
        <v>0</v>
      </c>
      <c r="D103" s="3"/>
      <c r="E103" s="30" t="s">
        <v>164</v>
      </c>
      <c r="F103" s="25">
        <v>1.1200000000000001</v>
      </c>
      <c r="G103" s="25">
        <v>1.1200000000000001</v>
      </c>
      <c r="H103" s="3"/>
      <c r="I103" s="3"/>
      <c r="J103" s="3"/>
    </row>
    <row r="104" spans="1:11" x14ac:dyDescent="0.25">
      <c r="A104" s="29"/>
      <c r="B104" s="34"/>
      <c r="C104" s="12">
        <f>SUBTOTAL(9,C98:C103)</f>
        <v>0</v>
      </c>
      <c r="D104" s="4" t="s">
        <v>5</v>
      </c>
      <c r="E104" s="30"/>
      <c r="F104" s="3"/>
      <c r="G104" s="3"/>
      <c r="H104" s="3"/>
      <c r="I104" s="3"/>
      <c r="J104" s="3"/>
    </row>
    <row r="105" spans="1:11" x14ac:dyDescent="0.25">
      <c r="A105" s="3"/>
      <c r="B105" s="3"/>
      <c r="C105" s="3"/>
      <c r="D105" s="3"/>
      <c r="E105" s="30"/>
      <c r="F105" s="3"/>
      <c r="G105" s="3"/>
      <c r="H105" s="3"/>
      <c r="I105" s="3"/>
      <c r="J105" s="3"/>
    </row>
    <row r="106" spans="1:11" x14ac:dyDescent="0.25">
      <c r="A106" s="32" t="s">
        <v>159</v>
      </c>
      <c r="B106" s="32" t="s">
        <v>160</v>
      </c>
      <c r="C106" s="33"/>
      <c r="D106" s="3"/>
      <c r="E106" s="30"/>
      <c r="F106" s="3"/>
      <c r="G106" s="3"/>
      <c r="H106" s="3"/>
      <c r="I106" s="3"/>
      <c r="J106" s="3"/>
    </row>
    <row r="107" spans="1:11" x14ac:dyDescent="0.25">
      <c r="A107" s="19"/>
      <c r="B107" s="13" t="s">
        <v>166</v>
      </c>
      <c r="C107" s="8">
        <f>SUMIF(DIM!E:E,B107,DIM!O:O)</f>
        <v>0</v>
      </c>
      <c r="D107" s="3"/>
      <c r="E107" s="30" t="s">
        <v>166</v>
      </c>
      <c r="F107" s="31">
        <v>1.1599999999999999</v>
      </c>
      <c r="G107" s="31">
        <v>1.1599999999999999</v>
      </c>
      <c r="H107" s="3"/>
      <c r="I107" s="40">
        <v>2.3E-2</v>
      </c>
      <c r="J107" s="40">
        <v>3.2000000000000001E-2</v>
      </c>
      <c r="K107" s="40">
        <f t="shared" ref="K107" si="16">G107-1-I107-J107</f>
        <v>0.10499999999999993</v>
      </c>
    </row>
    <row r="108" spans="1:11" x14ac:dyDescent="0.25">
      <c r="A108" s="19"/>
      <c r="B108" s="13"/>
      <c r="C108" s="8"/>
      <c r="D108" s="3"/>
      <c r="E108" s="30"/>
      <c r="F108" s="31"/>
      <c r="G108" s="31"/>
      <c r="H108" s="3"/>
      <c r="I108" s="3"/>
      <c r="J108" s="3"/>
    </row>
    <row r="109" spans="1:11" x14ac:dyDescent="0.25">
      <c r="A109" s="29"/>
      <c r="B109" s="34"/>
      <c r="C109" s="12">
        <f>SUBTOTAL(9,C107:C108)</f>
        <v>0</v>
      </c>
      <c r="D109" s="4" t="s">
        <v>5</v>
      </c>
      <c r="E109" s="30"/>
      <c r="F109" s="3"/>
      <c r="G109" s="3"/>
      <c r="H109" s="3"/>
      <c r="I109" s="3"/>
      <c r="J109" s="3"/>
    </row>
    <row r="110" spans="1:11" x14ac:dyDescent="0.25">
      <c r="A110" s="3"/>
      <c r="B110" s="3"/>
      <c r="C110" s="3"/>
      <c r="D110" s="3"/>
      <c r="E110" s="30"/>
      <c r="F110" s="3"/>
      <c r="G110" s="3"/>
      <c r="H110" s="3"/>
      <c r="I110" s="3"/>
      <c r="J110" s="3"/>
    </row>
    <row r="111" spans="1:11" ht="15.75" thickBot="1" x14ac:dyDescent="0.3">
      <c r="A111" s="3"/>
      <c r="B111" s="15" t="s">
        <v>167</v>
      </c>
      <c r="C111" s="16">
        <f>SUBTOTAL(9,C3:C95)</f>
        <v>5538031.8350805193</v>
      </c>
      <c r="D111" s="3"/>
      <c r="E111" s="21"/>
      <c r="F111" s="3"/>
      <c r="G111" s="3"/>
      <c r="H111" s="3"/>
      <c r="I111" s="3"/>
      <c r="J111" s="3"/>
    </row>
    <row r="112" spans="1:11" ht="15.75" thickTop="1" x14ac:dyDescent="0.25">
      <c r="A112" s="3"/>
      <c r="B112" s="3"/>
      <c r="C112" s="3"/>
      <c r="D112" s="3"/>
      <c r="E112" s="21"/>
      <c r="F112" s="3"/>
      <c r="G112" s="3"/>
      <c r="H112" s="3"/>
      <c r="I112" s="3"/>
      <c r="J112" s="3"/>
    </row>
    <row r="113" spans="1:10" x14ac:dyDescent="0.25">
      <c r="A113" s="3"/>
      <c r="B113" s="35" t="s">
        <v>168</v>
      </c>
      <c r="C113" s="3"/>
      <c r="D113" s="3"/>
      <c r="E113" s="21"/>
      <c r="F113" s="3"/>
      <c r="G113" s="3"/>
      <c r="H113" s="3"/>
      <c r="I113" s="3"/>
      <c r="J113" s="3"/>
    </row>
    <row r="114" spans="1:10" x14ac:dyDescent="0.25">
      <c r="A114" s="3"/>
      <c r="B114" s="35" t="s">
        <v>169</v>
      </c>
      <c r="C114" s="3"/>
      <c r="D114" s="3"/>
      <c r="E114" s="21"/>
      <c r="F114" s="3"/>
      <c r="G114" s="3"/>
      <c r="H114" s="3"/>
      <c r="I114" s="3"/>
      <c r="J114" s="3"/>
    </row>
    <row r="115" spans="1:10" x14ac:dyDescent="0.25">
      <c r="A115" s="3"/>
      <c r="B115" s="3"/>
      <c r="C115" s="3"/>
      <c r="D115" s="3"/>
      <c r="E115" s="21"/>
      <c r="F115" s="3"/>
      <c r="G115" s="3"/>
      <c r="H115" s="3"/>
      <c r="I115" s="3"/>
      <c r="J115" s="3"/>
    </row>
    <row r="116" spans="1:10" x14ac:dyDescent="0.25">
      <c r="A116" s="3"/>
      <c r="B116" s="3"/>
      <c r="C116" s="3"/>
      <c r="D116" s="3"/>
      <c r="E116" s="21"/>
      <c r="F116" s="3"/>
      <c r="G116" s="3"/>
      <c r="H116" s="3"/>
      <c r="I116" s="3"/>
      <c r="J116" s="3"/>
    </row>
    <row r="117" spans="1:10" x14ac:dyDescent="0.25">
      <c r="A117" s="3"/>
      <c r="B117" s="3"/>
      <c r="C117" s="3"/>
      <c r="D117" s="3"/>
      <c r="E117" s="21"/>
      <c r="F117" s="3"/>
      <c r="G117" s="3"/>
      <c r="H117" s="3"/>
      <c r="I117" s="3"/>
      <c r="J117" s="3"/>
    </row>
    <row r="118" spans="1:10" x14ac:dyDescent="0.25">
      <c r="A118" s="3"/>
      <c r="B118" s="3" t="s">
        <v>79</v>
      </c>
      <c r="C118" s="8">
        <f>SUMIF(DIM!E:E,B118,DIM!O:O)</f>
        <v>0</v>
      </c>
      <c r="D118" s="3"/>
      <c r="E118" s="21" t="s">
        <v>78</v>
      </c>
      <c r="F118" s="3"/>
      <c r="G118" s="3"/>
      <c r="H118" s="3"/>
      <c r="I118" s="3"/>
      <c r="J118" s="3"/>
    </row>
    <row r="119" spans="1:10" x14ac:dyDescent="0.25">
      <c r="A119" s="3"/>
      <c r="B119" s="3" t="s">
        <v>170</v>
      </c>
      <c r="C119" s="8">
        <f>SUMIF(DIM!E:E,B119,DIM!O:O)</f>
        <v>0</v>
      </c>
      <c r="D119" s="3"/>
      <c r="E119" s="21" t="s">
        <v>78</v>
      </c>
      <c r="F119" s="3"/>
      <c r="G119" s="3"/>
      <c r="H119" s="3"/>
      <c r="I119" s="3"/>
      <c r="J119" s="3"/>
    </row>
    <row r="120" spans="1:10" x14ac:dyDescent="0.25">
      <c r="A120" s="3"/>
      <c r="B120" s="3" t="s">
        <v>75</v>
      </c>
      <c r="C120" s="8">
        <f>SUMIF(DIM!E:E,B120,DIM!O:O)</f>
        <v>694282.35344827594</v>
      </c>
      <c r="D120" s="3"/>
      <c r="E120" s="21" t="s">
        <v>74</v>
      </c>
      <c r="F120" s="3"/>
      <c r="G120" s="3"/>
      <c r="H120" s="3"/>
      <c r="I120" s="3"/>
      <c r="J120" s="3"/>
    </row>
    <row r="121" spans="1:10" x14ac:dyDescent="0.25">
      <c r="A121" s="3"/>
      <c r="B121" s="3" t="s">
        <v>74</v>
      </c>
      <c r="C121" s="8">
        <f>SUMIF(DIM!E:E,B121,DIM!O:O)</f>
        <v>3338.1637931034484</v>
      </c>
      <c r="D121" s="3"/>
      <c r="E121" s="21" t="s">
        <v>74</v>
      </c>
      <c r="F121" s="3"/>
      <c r="G121" s="3"/>
      <c r="H121" s="3"/>
      <c r="I121" s="3"/>
      <c r="J121" s="3"/>
    </row>
    <row r="122" spans="1:10" x14ac:dyDescent="0.25">
      <c r="A122" s="3"/>
      <c r="B122" s="3" t="s">
        <v>77</v>
      </c>
      <c r="C122" s="8">
        <f>SUMIF(DIM!E:E,B122,DIM!O:O)</f>
        <v>0</v>
      </c>
      <c r="D122" s="3"/>
      <c r="E122" s="21" t="s">
        <v>78</v>
      </c>
      <c r="F122" s="3"/>
      <c r="G122" s="3"/>
      <c r="H122" s="3"/>
      <c r="I122" s="3"/>
      <c r="J122" s="3"/>
    </row>
    <row r="123" spans="1:10" x14ac:dyDescent="0.25">
      <c r="A123" s="3"/>
      <c r="B123" s="3" t="s">
        <v>171</v>
      </c>
      <c r="C123" s="8">
        <f>SUMIF(DIM!E:E,B123,DIM!O:O)</f>
        <v>0</v>
      </c>
      <c r="D123" s="3"/>
      <c r="E123" s="21" t="s">
        <v>78</v>
      </c>
      <c r="F123" s="3"/>
      <c r="G123" s="3"/>
      <c r="H123" s="3"/>
      <c r="I123" s="3"/>
      <c r="J123" s="3"/>
    </row>
    <row r="124" spans="1:10" x14ac:dyDescent="0.25">
      <c r="A124" s="3"/>
      <c r="B124" s="3"/>
      <c r="C124" s="8">
        <f>SUMIF(DIM!E:E,B124,DIM!O:O)</f>
        <v>0</v>
      </c>
      <c r="D124" s="4" t="s">
        <v>5</v>
      </c>
      <c r="E124" s="21"/>
      <c r="F124" s="3"/>
      <c r="G124" s="3"/>
      <c r="H124" s="3"/>
      <c r="I124" s="3"/>
      <c r="J124" s="3"/>
    </row>
    <row r="125" spans="1:10" x14ac:dyDescent="0.25">
      <c r="A125" s="3"/>
      <c r="B125" s="3"/>
      <c r="C125" s="3"/>
      <c r="D125" s="3"/>
      <c r="E125" s="21"/>
      <c r="F125" s="3"/>
      <c r="G125" s="3"/>
      <c r="H125" s="3"/>
      <c r="I125" s="3"/>
      <c r="J125" s="3"/>
    </row>
    <row r="126" spans="1:10" ht="15.75" thickBot="1" x14ac:dyDescent="0.3">
      <c r="A126" s="3"/>
      <c r="B126" s="4" t="s">
        <v>80</v>
      </c>
      <c r="C126" s="16">
        <f>SUBTOTAL(9,C118:C125)</f>
        <v>697620.51724137936</v>
      </c>
      <c r="D126" s="3"/>
      <c r="E126" s="21"/>
      <c r="F126" s="3"/>
      <c r="G126" s="3"/>
      <c r="H126" s="3"/>
      <c r="I126" s="3"/>
      <c r="J126" s="3"/>
    </row>
    <row r="127" spans="1:10" ht="15.75" thickTop="1" x14ac:dyDescent="0.25">
      <c r="A127" s="3"/>
      <c r="B127" s="3"/>
      <c r="C127" s="3"/>
      <c r="D127" s="3"/>
      <c r="E127" s="21"/>
      <c r="F127" s="3"/>
      <c r="G127" s="3"/>
      <c r="H127" s="3"/>
      <c r="I127" s="3"/>
      <c r="J127" s="3"/>
    </row>
    <row r="128" spans="1:10" ht="15.75" thickBot="1" x14ac:dyDescent="0.3">
      <c r="A128" s="3"/>
      <c r="B128" s="3" t="s">
        <v>81</v>
      </c>
      <c r="C128" s="16">
        <f>SUBTOTAL(9,C3:C126)</f>
        <v>6235652.3523218986</v>
      </c>
      <c r="D128" s="17"/>
      <c r="E128" s="21"/>
      <c r="F128" s="3"/>
      <c r="G128" s="3"/>
      <c r="H128" s="3"/>
      <c r="I128" s="3"/>
      <c r="J128" s="3"/>
    </row>
    <row r="129" spans="1:10" ht="15.75" thickTop="1" x14ac:dyDescent="0.25">
      <c r="A129" s="3"/>
      <c r="B129" s="3"/>
      <c r="C129" s="3"/>
      <c r="D129" s="3"/>
      <c r="E129" s="21"/>
      <c r="F129" s="3"/>
      <c r="G129" s="3"/>
      <c r="H129" s="3"/>
      <c r="I129" s="3"/>
      <c r="J129" s="3"/>
    </row>
    <row r="130" spans="1:10" x14ac:dyDescent="0.25">
      <c r="A130" s="3"/>
      <c r="B130" s="3"/>
      <c r="C130" s="36" t="s">
        <v>172</v>
      </c>
      <c r="D130" s="3"/>
      <c r="E130" s="21"/>
      <c r="F130" s="3"/>
      <c r="G130" s="3"/>
      <c r="H130" s="3"/>
      <c r="I130" s="3"/>
      <c r="J130" s="3"/>
    </row>
    <row r="131" spans="1:10" x14ac:dyDescent="0.25">
      <c r="A131" s="3"/>
      <c r="B131" s="3"/>
      <c r="C131" s="3"/>
      <c r="D131" s="3"/>
      <c r="E131" s="21"/>
      <c r="F131" s="3"/>
      <c r="G131" s="3"/>
      <c r="H131" s="3"/>
      <c r="I131" s="3"/>
      <c r="J131" s="3"/>
    </row>
    <row r="132" spans="1:10" x14ac:dyDescent="0.25">
      <c r="A132" s="3"/>
      <c r="B132" s="3"/>
      <c r="C132" s="3"/>
      <c r="D132" s="3"/>
      <c r="E132" s="21"/>
      <c r="F132" s="3"/>
      <c r="G132" s="3"/>
      <c r="H132" s="3"/>
      <c r="I132" s="3"/>
      <c r="J132" s="3"/>
    </row>
    <row r="133" spans="1:10" x14ac:dyDescent="0.25">
      <c r="A133" s="3"/>
      <c r="B133" s="3"/>
      <c r="C133" s="18">
        <f>+C111</f>
        <v>5538031.8350805193</v>
      </c>
      <c r="D133" s="3"/>
      <c r="E133" s="21"/>
      <c r="F133" s="3"/>
      <c r="G133" s="3"/>
      <c r="H133" s="3"/>
      <c r="I133" s="3"/>
      <c r="J133" s="3"/>
    </row>
    <row r="134" spans="1:10" x14ac:dyDescent="0.25">
      <c r="A134" s="3"/>
      <c r="B134" s="3"/>
      <c r="C134" s="3"/>
      <c r="D134" s="3"/>
      <c r="E134" s="21"/>
      <c r="F134" s="3"/>
      <c r="G134" s="3"/>
      <c r="H134" s="3"/>
      <c r="I134" s="3"/>
      <c r="J134" s="3"/>
    </row>
    <row r="135" spans="1:10" x14ac:dyDescent="0.25">
      <c r="A135" s="3"/>
      <c r="B135" s="3"/>
      <c r="C135" s="3"/>
      <c r="D135" s="3"/>
      <c r="E135" s="21"/>
      <c r="F135" s="3"/>
      <c r="G135" s="3"/>
      <c r="H135" s="3"/>
      <c r="I135" s="3"/>
      <c r="J135" s="3"/>
    </row>
    <row r="136" spans="1:10" x14ac:dyDescent="0.25">
      <c r="A136" s="3"/>
      <c r="B136" s="3"/>
      <c r="C136" s="3"/>
      <c r="D136" s="3"/>
      <c r="E136" s="21"/>
      <c r="F136" s="3"/>
      <c r="G136" s="3"/>
      <c r="H136" s="3"/>
      <c r="I136" s="3"/>
      <c r="J136" s="3"/>
    </row>
    <row r="137" spans="1:10" x14ac:dyDescent="0.25">
      <c r="A137" s="3"/>
      <c r="B137" s="3"/>
      <c r="C137" s="3"/>
      <c r="D137" s="3"/>
      <c r="E137" s="21"/>
      <c r="F137" s="3"/>
      <c r="G137" s="3"/>
      <c r="H137" s="3"/>
      <c r="I137" s="3"/>
      <c r="J137" s="3"/>
    </row>
    <row r="138" spans="1:10" x14ac:dyDescent="0.25">
      <c r="A138" s="3"/>
      <c r="B138" s="3"/>
      <c r="C138" s="3"/>
      <c r="D138" s="3"/>
      <c r="E138" s="21"/>
      <c r="F138" s="3"/>
      <c r="G138" s="3"/>
      <c r="H138" s="3"/>
      <c r="I138" s="3"/>
      <c r="J138" s="3"/>
    </row>
    <row r="139" spans="1:10" x14ac:dyDescent="0.25">
      <c r="A139" s="3"/>
      <c r="B139" s="3"/>
      <c r="C139" s="3"/>
      <c r="D139" s="3"/>
      <c r="E139" s="21"/>
      <c r="F139" s="3"/>
      <c r="G139" s="3"/>
      <c r="H139" s="3"/>
      <c r="I139" s="3"/>
      <c r="J139" s="3"/>
    </row>
    <row r="140" spans="1:10" x14ac:dyDescent="0.25">
      <c r="A140" s="3"/>
      <c r="B140" s="3"/>
      <c r="C140" s="3"/>
      <c r="D140" s="3"/>
      <c r="E140" s="21"/>
      <c r="F140" s="3"/>
      <c r="G140" s="3"/>
      <c r="H140" s="3"/>
      <c r="I140" s="3"/>
      <c r="J140" s="3"/>
    </row>
    <row r="141" spans="1:10" x14ac:dyDescent="0.25">
      <c r="A141" s="3"/>
      <c r="B141" s="3"/>
      <c r="C141" s="3"/>
      <c r="D141" s="3"/>
      <c r="E141" s="21"/>
      <c r="F141" s="3"/>
      <c r="G141" s="3"/>
      <c r="H141" s="3"/>
      <c r="I141" s="3"/>
      <c r="J141" s="3"/>
    </row>
    <row r="142" spans="1:10" x14ac:dyDescent="0.25">
      <c r="A142" s="3"/>
      <c r="B142" s="3"/>
      <c r="C142" s="3"/>
      <c r="D142" s="3"/>
      <c r="E142" s="21"/>
      <c r="F142" s="3"/>
      <c r="G142" s="3"/>
      <c r="H142" s="3"/>
      <c r="I142" s="3"/>
      <c r="J142" s="3"/>
    </row>
    <row r="143" spans="1:10" x14ac:dyDescent="0.25">
      <c r="A143" s="3"/>
      <c r="B143" s="3"/>
      <c r="C143" s="3"/>
      <c r="D143" s="3"/>
      <c r="E143" s="21"/>
      <c r="F143" s="3"/>
      <c r="G143" s="3"/>
      <c r="H143" s="3"/>
      <c r="I143" s="3"/>
      <c r="J143" s="3"/>
    </row>
    <row r="144" spans="1:10" x14ac:dyDescent="0.25">
      <c r="A144" s="3"/>
      <c r="B144" s="3"/>
      <c r="C144" s="3"/>
      <c r="D144" s="3"/>
      <c r="E144" s="21"/>
      <c r="F144" s="3"/>
      <c r="G144" s="3"/>
      <c r="H144" s="3"/>
      <c r="I144" s="3"/>
      <c r="J144" s="3"/>
    </row>
    <row r="145" spans="1:10" x14ac:dyDescent="0.25">
      <c r="A145" s="3"/>
      <c r="B145" s="3"/>
      <c r="C145" s="3"/>
      <c r="D145" s="3"/>
      <c r="E145" s="21"/>
      <c r="F145" s="3"/>
      <c r="G145" s="3"/>
      <c r="H145" s="3"/>
      <c r="I145" s="3"/>
      <c r="J145" s="3"/>
    </row>
    <row r="146" spans="1:10" x14ac:dyDescent="0.25">
      <c r="A146" s="3"/>
      <c r="B146" s="3"/>
      <c r="C146" s="3"/>
      <c r="D146" s="3"/>
      <c r="E146" s="21"/>
      <c r="F146" s="3"/>
      <c r="G146" s="3"/>
      <c r="H146" s="3"/>
      <c r="I146" s="3"/>
      <c r="J146" s="3"/>
    </row>
    <row r="147" spans="1:10" x14ac:dyDescent="0.25">
      <c r="A147" s="3"/>
      <c r="B147" s="3"/>
      <c r="C147" s="3"/>
      <c r="D147" s="3"/>
      <c r="E147" s="21"/>
      <c r="F147" s="3"/>
      <c r="G147" s="3"/>
      <c r="H147" s="3"/>
      <c r="I147" s="3"/>
      <c r="J147" s="3"/>
    </row>
    <row r="148" spans="1:10" x14ac:dyDescent="0.25">
      <c r="A148" s="3"/>
      <c r="B148" s="3"/>
      <c r="C148" s="3"/>
      <c r="D148" s="3"/>
      <c r="E148" s="21"/>
      <c r="F148" s="3"/>
      <c r="G148" s="3"/>
      <c r="H148" s="3"/>
      <c r="I148" s="3"/>
      <c r="J148" s="3"/>
    </row>
    <row r="149" spans="1:10" x14ac:dyDescent="0.25">
      <c r="A149" s="3"/>
      <c r="B149" s="3"/>
      <c r="C149" s="3"/>
      <c r="D149" s="3"/>
      <c r="E149" s="21"/>
      <c r="F149" s="3"/>
      <c r="G149" s="3"/>
      <c r="H149" s="3"/>
      <c r="I149" s="3"/>
      <c r="J149" s="3"/>
    </row>
    <row r="150" spans="1:10" x14ac:dyDescent="0.25">
      <c r="A150" s="3"/>
      <c r="B150" s="3"/>
      <c r="C150" s="3"/>
      <c r="D150" s="3"/>
      <c r="E150" s="21"/>
      <c r="F150" s="3"/>
      <c r="G150" s="3"/>
      <c r="H150" s="3"/>
      <c r="I150" s="3"/>
      <c r="J150" s="3"/>
    </row>
    <row r="151" spans="1:10" x14ac:dyDescent="0.25">
      <c r="A151" s="3"/>
      <c r="B151" s="3"/>
      <c r="C151" s="3"/>
      <c r="D151" s="3"/>
      <c r="E151" s="21"/>
      <c r="F151" s="3"/>
      <c r="G151" s="3"/>
      <c r="H151" s="3"/>
      <c r="I151" s="3"/>
      <c r="J151" s="3"/>
    </row>
    <row r="152" spans="1:10" x14ac:dyDescent="0.25">
      <c r="A152" s="3"/>
      <c r="B152" s="3"/>
      <c r="C152" s="3"/>
      <c r="D152" s="3"/>
      <c r="E152" s="21"/>
      <c r="F152" s="3"/>
      <c r="G152" s="3"/>
      <c r="H152" s="3"/>
      <c r="I152" s="3"/>
      <c r="J152" s="3"/>
    </row>
    <row r="153" spans="1:10" x14ac:dyDescent="0.25">
      <c r="A153" s="3"/>
      <c r="B153" s="3"/>
      <c r="C153" s="3"/>
      <c r="D153" s="3"/>
      <c r="E153" s="21"/>
      <c r="F153" s="3"/>
      <c r="G153" s="3"/>
      <c r="H153" s="3"/>
      <c r="I153" s="3"/>
      <c r="J153" s="3"/>
    </row>
    <row r="154" spans="1:10" x14ac:dyDescent="0.25">
      <c r="A154" s="3"/>
      <c r="B154" s="3"/>
      <c r="C154" s="3"/>
      <c r="D154" s="3"/>
      <c r="E154" s="21"/>
      <c r="F154" s="3"/>
      <c r="G154" s="3"/>
      <c r="H154" s="3"/>
      <c r="I154" s="3"/>
      <c r="J154" s="3"/>
    </row>
    <row r="155" spans="1:10" x14ac:dyDescent="0.25">
      <c r="A155" s="3"/>
      <c r="B155" s="3"/>
      <c r="C155" s="3"/>
      <c r="D155" s="3"/>
      <c r="E155" s="21"/>
      <c r="F155" s="3"/>
      <c r="G155" s="3"/>
      <c r="H155" s="3"/>
      <c r="I155" s="3"/>
      <c r="J155" s="3"/>
    </row>
    <row r="156" spans="1:10" x14ac:dyDescent="0.25">
      <c r="A156" s="3"/>
      <c r="B156" s="3"/>
      <c r="C156" s="3"/>
      <c r="D156" s="3"/>
      <c r="E156" s="21"/>
      <c r="F156" s="3"/>
      <c r="G156" s="3"/>
      <c r="H156" s="3"/>
      <c r="I156" s="3"/>
      <c r="J156" s="3"/>
    </row>
    <row r="157" spans="1:10" x14ac:dyDescent="0.25">
      <c r="A157" s="3"/>
      <c r="B157" s="3"/>
      <c r="C157" s="3"/>
      <c r="D157" s="3"/>
      <c r="E157" s="21"/>
      <c r="F157" s="3"/>
      <c r="G157" s="3"/>
      <c r="H157" s="3"/>
      <c r="I157" s="3"/>
      <c r="J157" s="3"/>
    </row>
    <row r="158" spans="1:10" x14ac:dyDescent="0.25">
      <c r="A158" s="3"/>
      <c r="B158" s="3"/>
      <c r="C158" s="3"/>
      <c r="D158" s="3"/>
      <c r="E158" s="21"/>
      <c r="F158" s="3"/>
      <c r="G158" s="3"/>
      <c r="H158" s="3"/>
      <c r="I158" s="3"/>
      <c r="J158" s="3"/>
    </row>
    <row r="159" spans="1:10" x14ac:dyDescent="0.25">
      <c r="A159" s="3"/>
      <c r="B159" s="3"/>
      <c r="C159" s="3"/>
      <c r="D159" s="3"/>
      <c r="E159" s="21"/>
      <c r="F159" s="3"/>
      <c r="G159" s="3"/>
      <c r="H159" s="3"/>
      <c r="I159" s="3"/>
      <c r="J159" s="3"/>
    </row>
    <row r="160" spans="1:10" x14ac:dyDescent="0.25">
      <c r="A160" s="3"/>
      <c r="B160" s="3"/>
      <c r="C160" s="3"/>
      <c r="D160" s="3"/>
      <c r="E160" s="21"/>
      <c r="F160" s="3"/>
      <c r="G160" s="3"/>
      <c r="H160" s="3"/>
      <c r="I160" s="3"/>
      <c r="J160" s="3"/>
    </row>
    <row r="161" spans="1:10" x14ac:dyDescent="0.25">
      <c r="A161" s="3"/>
      <c r="B161" s="3"/>
      <c r="C161" s="3"/>
      <c r="D161" s="3"/>
      <c r="E161" s="21"/>
      <c r="F161" s="3"/>
      <c r="G161" s="3"/>
      <c r="H161" s="3"/>
      <c r="I161" s="3"/>
      <c r="J161" s="3"/>
    </row>
    <row r="162" spans="1:10" x14ac:dyDescent="0.25">
      <c r="A162" s="3"/>
      <c r="B162" s="3"/>
      <c r="C162" s="3"/>
      <c r="D162" s="3"/>
      <c r="E162" s="21"/>
      <c r="F162" s="3"/>
      <c r="G162" s="3"/>
      <c r="H162" s="3"/>
      <c r="I162" s="3"/>
      <c r="J162" s="3"/>
    </row>
    <row r="163" spans="1:10" x14ac:dyDescent="0.25">
      <c r="A163" s="3"/>
      <c r="B163" s="3"/>
      <c r="C163" s="3"/>
      <c r="D163" s="3"/>
      <c r="E163" s="21"/>
      <c r="F163" s="3"/>
      <c r="G163" s="3"/>
      <c r="H163" s="3"/>
      <c r="I163" s="3"/>
      <c r="J163" s="3"/>
    </row>
    <row r="164" spans="1:10" x14ac:dyDescent="0.25">
      <c r="A164" s="3"/>
      <c r="B164" s="3"/>
      <c r="C164" s="3"/>
      <c r="D164" s="3"/>
      <c r="E164" s="21"/>
      <c r="F164" s="3"/>
      <c r="G164" s="3"/>
      <c r="H164" s="3"/>
      <c r="I164" s="3"/>
      <c r="J164" s="3"/>
    </row>
    <row r="165" spans="1:10" x14ac:dyDescent="0.25">
      <c r="A165" s="3"/>
      <c r="B165" s="3"/>
      <c r="C165" s="3"/>
      <c r="D165" s="3"/>
      <c r="E165" s="21"/>
      <c r="F165" s="3"/>
      <c r="G165" s="3"/>
      <c r="H165" s="3"/>
      <c r="I165" s="3"/>
      <c r="J165" s="3"/>
    </row>
    <row r="166" spans="1:10" x14ac:dyDescent="0.25">
      <c r="A166" s="3"/>
      <c r="B166" s="3"/>
      <c r="C166" s="3"/>
      <c r="D166" s="3"/>
      <c r="E166" s="21"/>
      <c r="F166" s="3"/>
      <c r="G166" s="3"/>
      <c r="H166" s="3"/>
      <c r="I166" s="3"/>
      <c r="J166" s="3"/>
    </row>
    <row r="167" spans="1:10" x14ac:dyDescent="0.25">
      <c r="A167" s="3"/>
      <c r="B167" s="3"/>
      <c r="C167" s="3"/>
      <c r="D167" s="3"/>
      <c r="E167" s="21"/>
      <c r="F167" s="3"/>
      <c r="G167" s="3"/>
      <c r="H167" s="3"/>
      <c r="I167" s="3"/>
      <c r="J167" s="3"/>
    </row>
    <row r="168" spans="1:10" x14ac:dyDescent="0.25">
      <c r="A168" s="3"/>
      <c r="B168" s="3"/>
      <c r="C168" s="3"/>
      <c r="D168" s="3"/>
      <c r="E168" s="21"/>
      <c r="F168" s="3"/>
      <c r="G168" s="3"/>
      <c r="H168" s="3"/>
      <c r="I168" s="3"/>
      <c r="J168" s="3"/>
    </row>
    <row r="169" spans="1:10" x14ac:dyDescent="0.25">
      <c r="A169" s="3"/>
      <c r="B169" s="3"/>
      <c r="C169" s="3"/>
      <c r="D169" s="3"/>
      <c r="E169" s="21"/>
      <c r="F169" s="3"/>
      <c r="G169" s="3"/>
      <c r="H169" s="3"/>
      <c r="I169" s="3"/>
      <c r="J169" s="3"/>
    </row>
    <row r="170" spans="1:10" x14ac:dyDescent="0.25">
      <c r="A170" s="3"/>
      <c r="B170" s="3"/>
      <c r="C170" s="3"/>
      <c r="D170" s="3"/>
      <c r="E170" s="21"/>
      <c r="F170" s="3"/>
      <c r="G170" s="3"/>
      <c r="H170" s="3"/>
      <c r="I170" s="3"/>
      <c r="J170" s="3"/>
    </row>
    <row r="171" spans="1:10" x14ac:dyDescent="0.25">
      <c r="A171" s="3"/>
      <c r="B171" s="3"/>
      <c r="C171" s="3"/>
      <c r="D171" s="3"/>
      <c r="E171" s="21"/>
      <c r="F171" s="3"/>
      <c r="G171" s="3"/>
      <c r="H171" s="3"/>
      <c r="I171" s="3"/>
      <c r="J171" s="3"/>
    </row>
    <row r="172" spans="1:10" x14ac:dyDescent="0.25">
      <c r="A172" s="3"/>
      <c r="B172" s="3"/>
      <c r="C172" s="3"/>
      <c r="D172" s="3"/>
      <c r="E172" s="21"/>
      <c r="F172" s="3"/>
      <c r="G172" s="3"/>
      <c r="H172" s="3"/>
      <c r="I172" s="3"/>
      <c r="J172" s="3"/>
    </row>
    <row r="173" spans="1:10" x14ac:dyDescent="0.25">
      <c r="A173" s="3"/>
      <c r="B173" s="3"/>
      <c r="C173" s="3"/>
      <c r="D173" s="3"/>
      <c r="E173" s="21"/>
      <c r="F173" s="3"/>
      <c r="G173" s="3"/>
      <c r="H173" s="3"/>
      <c r="I173" s="3"/>
      <c r="J173" s="3"/>
    </row>
    <row r="174" spans="1:10" x14ac:dyDescent="0.25">
      <c r="A174" s="3"/>
      <c r="B174" s="3"/>
      <c r="C174" s="3"/>
      <c r="D174" s="3"/>
      <c r="E174" s="21"/>
      <c r="F174" s="3"/>
      <c r="G174" s="3"/>
      <c r="H174" s="3"/>
      <c r="I174" s="3"/>
      <c r="J174" s="3"/>
    </row>
    <row r="175" spans="1:10" x14ac:dyDescent="0.25">
      <c r="A175" s="3"/>
      <c r="B175" s="3"/>
      <c r="C175" s="3"/>
      <c r="D175" s="3"/>
      <c r="E175" s="21"/>
      <c r="F175" s="3"/>
      <c r="G175" s="3"/>
      <c r="H175" s="3"/>
      <c r="I175" s="3"/>
      <c r="J175" s="3"/>
    </row>
    <row r="176" spans="1:10" x14ac:dyDescent="0.25">
      <c r="A176" s="3"/>
      <c r="B176" s="3"/>
      <c r="C176" s="3"/>
      <c r="D176" s="3"/>
      <c r="E176" s="21"/>
      <c r="F176" s="3"/>
      <c r="G176" s="3"/>
      <c r="H176" s="3"/>
      <c r="I176" s="3"/>
      <c r="J176" s="3"/>
    </row>
    <row r="177" spans="1:10" x14ac:dyDescent="0.25">
      <c r="A177" s="3"/>
      <c r="B177" s="3"/>
      <c r="C177" s="3"/>
      <c r="D177" s="3"/>
      <c r="E177" s="21"/>
      <c r="F177" s="3"/>
      <c r="G177" s="3"/>
      <c r="H177" s="3"/>
      <c r="I177" s="3"/>
      <c r="J177" s="3"/>
    </row>
    <row r="178" spans="1:10" x14ac:dyDescent="0.25">
      <c r="A178" s="3"/>
      <c r="B178" s="3"/>
      <c r="C178" s="3"/>
      <c r="D178" s="3"/>
      <c r="E178" s="21"/>
      <c r="F178" s="3"/>
      <c r="G178" s="3"/>
      <c r="H178" s="3"/>
      <c r="I178" s="3"/>
      <c r="J178" s="3"/>
    </row>
    <row r="179" spans="1:10" x14ac:dyDescent="0.25">
      <c r="A179" s="3"/>
      <c r="B179" s="3"/>
      <c r="C179" s="3"/>
      <c r="D179" s="3"/>
      <c r="E179" s="21"/>
      <c r="F179" s="3"/>
      <c r="G179" s="3"/>
      <c r="H179" s="3"/>
      <c r="I179" s="3"/>
      <c r="J179" s="3"/>
    </row>
    <row r="180" spans="1:10" x14ac:dyDescent="0.25">
      <c r="A180" s="3"/>
      <c r="B180" s="3"/>
      <c r="C180" s="3"/>
      <c r="D180" s="3"/>
      <c r="E180" s="21"/>
      <c r="F180" s="3"/>
      <c r="G180" s="3"/>
      <c r="H180" s="3"/>
      <c r="I180" s="3"/>
      <c r="J180" s="3"/>
    </row>
    <row r="181" spans="1:10" x14ac:dyDescent="0.25">
      <c r="A181" s="3"/>
      <c r="B181" s="3"/>
      <c r="C181" s="3"/>
      <c r="D181" s="3"/>
      <c r="E181" s="21"/>
      <c r="F181" s="3"/>
      <c r="G181" s="3"/>
      <c r="H181" s="3"/>
      <c r="I181" s="3"/>
      <c r="J181" s="3"/>
    </row>
    <row r="182" spans="1:10" x14ac:dyDescent="0.25">
      <c r="A182" s="3"/>
      <c r="B182" s="3"/>
      <c r="C182" s="3"/>
      <c r="D182" s="3"/>
      <c r="E182" s="21"/>
      <c r="F182" s="3"/>
      <c r="G182" s="3"/>
      <c r="H182" s="3"/>
      <c r="I182" s="3"/>
      <c r="J182" s="3"/>
    </row>
    <row r="183" spans="1:10" x14ac:dyDescent="0.25">
      <c r="A183" s="3"/>
      <c r="B183" s="3"/>
      <c r="C183" s="3"/>
      <c r="D183" s="3"/>
      <c r="E183" s="21"/>
      <c r="F183" s="3"/>
      <c r="G183" s="3"/>
      <c r="H183" s="3"/>
      <c r="I183" s="3"/>
      <c r="J183" s="3"/>
    </row>
    <row r="184" spans="1:10" x14ac:dyDescent="0.25">
      <c r="A184" s="3"/>
      <c r="B184" s="3"/>
      <c r="C184" s="3"/>
      <c r="D184" s="3"/>
      <c r="E184" s="21"/>
      <c r="F184" s="3"/>
      <c r="G184" s="3"/>
      <c r="H184" s="3"/>
      <c r="I184" s="3"/>
      <c r="J184" s="3"/>
    </row>
    <row r="185" spans="1:10" x14ac:dyDescent="0.25">
      <c r="A185" s="3"/>
      <c r="B185" s="3"/>
      <c r="C185" s="3"/>
      <c r="D185" s="3"/>
      <c r="E185" s="21"/>
      <c r="F185" s="3"/>
      <c r="G185" s="3"/>
      <c r="H185" s="3"/>
      <c r="I185" s="3"/>
      <c r="J185" s="3"/>
    </row>
    <row r="186" spans="1:10" x14ac:dyDescent="0.25">
      <c r="A186" s="3"/>
      <c r="B186" s="3"/>
      <c r="C186" s="3"/>
      <c r="D186" s="3"/>
      <c r="E186" s="21"/>
      <c r="F186" s="3"/>
      <c r="G186" s="3"/>
      <c r="H186" s="3"/>
      <c r="I186" s="3"/>
      <c r="J186" s="3"/>
    </row>
    <row r="187" spans="1:10" x14ac:dyDescent="0.25">
      <c r="A187" s="3"/>
      <c r="B187" s="3"/>
      <c r="C187" s="3"/>
      <c r="D187" s="3"/>
      <c r="E187" s="21"/>
      <c r="F187" s="3"/>
      <c r="G187" s="3"/>
      <c r="H187" s="3"/>
      <c r="I187" s="3"/>
      <c r="J187" s="3"/>
    </row>
    <row r="188" spans="1:10" x14ac:dyDescent="0.25">
      <c r="A188" s="3"/>
      <c r="B188" s="3"/>
      <c r="C188" s="3"/>
      <c r="D188" s="3"/>
      <c r="E188" s="21"/>
      <c r="F188" s="3"/>
      <c r="G188" s="3"/>
      <c r="H188" s="3"/>
      <c r="I188" s="3"/>
      <c r="J188" s="3"/>
    </row>
    <row r="189" spans="1:10" x14ac:dyDescent="0.25">
      <c r="A189" s="3"/>
      <c r="B189" s="3"/>
      <c r="C189" s="3"/>
      <c r="D189" s="3"/>
      <c r="E189" s="21"/>
      <c r="F189" s="3"/>
      <c r="G189" s="3"/>
      <c r="H189" s="3"/>
      <c r="I189" s="3"/>
      <c r="J189" s="3"/>
    </row>
    <row r="190" spans="1:10" x14ac:dyDescent="0.25">
      <c r="A190" s="3"/>
      <c r="B190" s="3"/>
      <c r="C190" s="3"/>
      <c r="D190" s="3"/>
      <c r="E190" s="21"/>
      <c r="F190" s="3"/>
      <c r="G190" s="3"/>
      <c r="H190" s="3"/>
      <c r="I190" s="3"/>
      <c r="J190" s="3"/>
    </row>
    <row r="191" spans="1:10" x14ac:dyDescent="0.25">
      <c r="A191" s="3"/>
      <c r="B191" s="3"/>
      <c r="C191" s="3"/>
      <c r="D191" s="3"/>
      <c r="E191" s="21"/>
      <c r="F191" s="3"/>
      <c r="G191" s="3"/>
      <c r="H191" s="3"/>
      <c r="I191" s="3"/>
      <c r="J191" s="3"/>
    </row>
    <row r="192" spans="1:10" x14ac:dyDescent="0.25">
      <c r="A192" s="3"/>
      <c r="B192" s="3"/>
      <c r="C192" s="3"/>
      <c r="D192" s="3"/>
      <c r="E192" s="21"/>
      <c r="F192" s="3"/>
      <c r="G192" s="3"/>
      <c r="H192" s="3"/>
      <c r="I192" s="3"/>
      <c r="J192" s="3"/>
    </row>
    <row r="193" spans="1:10" x14ac:dyDescent="0.25">
      <c r="A193" s="3"/>
      <c r="B193" s="3"/>
      <c r="C193" s="3"/>
      <c r="D193" s="3"/>
      <c r="E193" s="21"/>
      <c r="F193" s="3"/>
      <c r="G193" s="3"/>
      <c r="H193" s="3"/>
      <c r="I193" s="3"/>
      <c r="J193" s="3"/>
    </row>
    <row r="194" spans="1:10" x14ac:dyDescent="0.25">
      <c r="A194" s="3"/>
      <c r="B194" s="3"/>
      <c r="C194" s="3"/>
      <c r="D194" s="3"/>
      <c r="E194" s="21"/>
      <c r="F194" s="3"/>
      <c r="G194" s="3"/>
      <c r="H194" s="3"/>
      <c r="I194" s="3"/>
      <c r="J194" s="3"/>
    </row>
    <row r="195" spans="1:10" x14ac:dyDescent="0.25">
      <c r="A195" s="3"/>
      <c r="B195" s="3"/>
      <c r="C195" s="3"/>
      <c r="D195" s="3"/>
      <c r="E195" s="21"/>
      <c r="F195" s="3"/>
      <c r="G195" s="3"/>
      <c r="H195" s="3"/>
      <c r="I195" s="3"/>
      <c r="J195" s="3"/>
    </row>
    <row r="196" spans="1:10" x14ac:dyDescent="0.25">
      <c r="A196" s="3"/>
      <c r="B196" s="3"/>
      <c r="C196" s="3"/>
      <c r="D196" s="3"/>
      <c r="E196" s="21"/>
      <c r="F196" s="3"/>
      <c r="G196" s="3"/>
      <c r="H196" s="3"/>
      <c r="I196" s="3"/>
      <c r="J196" s="3"/>
    </row>
    <row r="197" spans="1:10" x14ac:dyDescent="0.25">
      <c r="A197" s="3"/>
      <c r="B197" s="3"/>
      <c r="C197" s="3"/>
      <c r="D197" s="3"/>
      <c r="E197" s="21"/>
      <c r="F197" s="3"/>
      <c r="G197" s="3"/>
      <c r="H197" s="3"/>
      <c r="I197" s="3"/>
      <c r="J197" s="3"/>
    </row>
    <row r="198" spans="1:10" x14ac:dyDescent="0.25">
      <c r="A198" s="3"/>
      <c r="B198" s="3"/>
      <c r="C198" s="3"/>
      <c r="D198" s="3"/>
      <c r="E198" s="21"/>
      <c r="F198" s="3"/>
      <c r="G198" s="3"/>
      <c r="H198" s="3"/>
      <c r="I198" s="3"/>
      <c r="J198" s="3"/>
    </row>
    <row r="199" spans="1:10" x14ac:dyDescent="0.25">
      <c r="A199" s="3"/>
      <c r="B199" s="3"/>
      <c r="C199" s="3"/>
      <c r="D199" s="3"/>
      <c r="E199" s="21"/>
      <c r="F199" s="3"/>
      <c r="G199" s="3"/>
      <c r="H199" s="3"/>
      <c r="I199" s="3"/>
      <c r="J199" s="3"/>
    </row>
    <row r="200" spans="1:10" x14ac:dyDescent="0.25">
      <c r="A200" s="3"/>
      <c r="B200" s="3"/>
      <c r="C200" s="3"/>
      <c r="D200" s="3"/>
      <c r="E200" s="21"/>
      <c r="F200" s="3"/>
      <c r="G200" s="3"/>
      <c r="H200" s="3"/>
      <c r="I200" s="3"/>
      <c r="J200" s="3"/>
    </row>
    <row r="201" spans="1:10" x14ac:dyDescent="0.25">
      <c r="A201" s="3"/>
      <c r="B201" s="3"/>
      <c r="C201" s="3"/>
      <c r="D201" s="3"/>
      <c r="E201" s="21"/>
      <c r="F201" s="3"/>
      <c r="G201" s="3"/>
      <c r="H201" s="3"/>
      <c r="I201" s="3"/>
      <c r="J201" s="3"/>
    </row>
    <row r="202" spans="1:10" x14ac:dyDescent="0.25">
      <c r="A202" s="3"/>
      <c r="B202" s="3"/>
      <c r="C202" s="3"/>
      <c r="D202" s="3"/>
      <c r="E202" s="21"/>
      <c r="F202" s="3"/>
      <c r="G202" s="3"/>
      <c r="H202" s="3"/>
      <c r="I202" s="3"/>
      <c r="J202" s="3"/>
    </row>
    <row r="203" spans="1:10" x14ac:dyDescent="0.25">
      <c r="A203" s="3"/>
      <c r="B203" s="3"/>
      <c r="C203" s="3"/>
      <c r="D203" s="3"/>
      <c r="E203" s="21"/>
      <c r="F203" s="3"/>
      <c r="G203" s="3"/>
      <c r="H203" s="3"/>
      <c r="I203" s="3"/>
      <c r="J203" s="3"/>
    </row>
  </sheetData>
  <autoFilter ref="A1:H198" xr:uid="{8B641957-5BA6-444D-98B4-C2E1B59943AC}"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520D4-C904-44AF-BAD3-A1C4C85E52DA}">
  <dimension ref="A1:M290"/>
  <sheetViews>
    <sheetView showGridLines="0" zoomScale="80" zoomScaleNormal="80" workbookViewId="0">
      <pane ySplit="1" topLeftCell="A17" activePane="bottomLeft" state="frozen"/>
      <selection pane="bottomLeft" activeCell="B14" sqref="B14"/>
    </sheetView>
  </sheetViews>
  <sheetFormatPr baseColWidth="10" defaultRowHeight="15" x14ac:dyDescent="0.25"/>
  <cols>
    <col min="1" max="1" width="27.140625" bestFit="1" customWidth="1"/>
    <col min="2" max="2" width="35.140625" bestFit="1" customWidth="1"/>
    <col min="3" max="3" width="23" customWidth="1"/>
    <col min="4" max="4" width="8.85546875" bestFit="1" customWidth="1"/>
    <col min="5" max="5" width="27.42578125" bestFit="1" customWidth="1"/>
    <col min="6" max="7" width="10.42578125" customWidth="1"/>
  </cols>
  <sheetData>
    <row r="1" spans="1:13" ht="13.5" customHeight="1" thickBot="1" x14ac:dyDescent="0.3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K1" s="43" t="s">
        <v>209</v>
      </c>
      <c r="L1" s="43" t="s">
        <v>210</v>
      </c>
      <c r="M1" s="43" t="s">
        <v>211</v>
      </c>
    </row>
    <row r="2" spans="1:13" x14ac:dyDescent="0.25">
      <c r="A2" s="4"/>
      <c r="B2" s="4"/>
      <c r="C2" s="5"/>
      <c r="D2" s="3"/>
      <c r="E2" s="3"/>
      <c r="F2" s="3"/>
      <c r="G2" s="3"/>
      <c r="H2" s="3"/>
    </row>
    <row r="3" spans="1:13" x14ac:dyDescent="0.25">
      <c r="A3" s="4"/>
      <c r="B3" s="4"/>
      <c r="C3" s="6"/>
      <c r="D3" s="3"/>
      <c r="E3" s="3"/>
      <c r="F3" s="3"/>
      <c r="G3" s="3"/>
      <c r="H3" s="3"/>
    </row>
    <row r="4" spans="1:13" x14ac:dyDescent="0.25">
      <c r="A4" s="4"/>
      <c r="B4" s="4"/>
      <c r="C4" s="5"/>
      <c r="D4" s="5"/>
      <c r="E4" s="5"/>
      <c r="F4" s="5"/>
      <c r="G4" s="5"/>
      <c r="H4" s="3"/>
      <c r="I4" s="3"/>
      <c r="J4" s="3"/>
      <c r="K4" s="37"/>
      <c r="L4" s="37"/>
      <c r="M4" s="37"/>
    </row>
    <row r="5" spans="1:13" x14ac:dyDescent="0.25">
      <c r="A5" s="7"/>
      <c r="B5" s="4"/>
      <c r="C5" s="5"/>
      <c r="D5" s="5"/>
      <c r="E5" s="5"/>
      <c r="F5" s="5"/>
      <c r="G5" s="5"/>
      <c r="H5" s="3"/>
      <c r="I5" s="3"/>
      <c r="J5" s="3"/>
      <c r="K5" s="37"/>
      <c r="L5" s="37"/>
      <c r="M5" s="37"/>
    </row>
    <row r="6" spans="1:13" x14ac:dyDescent="0.25">
      <c r="A6" s="32" t="s">
        <v>159</v>
      </c>
      <c r="B6" s="32" t="s">
        <v>160</v>
      </c>
      <c r="C6" s="33"/>
      <c r="D6" s="38"/>
      <c r="E6" s="38"/>
      <c r="F6" s="38"/>
      <c r="G6" s="38"/>
      <c r="H6" s="3"/>
      <c r="I6" s="3"/>
      <c r="J6" s="3"/>
      <c r="K6" s="37"/>
      <c r="L6" s="37"/>
      <c r="M6" s="37"/>
    </row>
    <row r="7" spans="1:13" x14ac:dyDescent="0.25">
      <c r="A7" s="19"/>
      <c r="B7" s="13" t="s">
        <v>173</v>
      </c>
      <c r="C7" s="8">
        <f>SUMIF(TM!E:E,B7,TM!O:O)</f>
        <v>0</v>
      </c>
      <c r="D7" s="8"/>
      <c r="E7" s="8">
        <f>SUMIFS(TM!Q:Q,TM!L:L,"OK SEMANA",TM!E:E,$B7)</f>
        <v>0</v>
      </c>
      <c r="F7" s="8">
        <f>SUMIFS(TM!R:R,TM!L:L,"OK SEMANA",TM!F:F,$B7)</f>
        <v>0</v>
      </c>
      <c r="G7" s="8">
        <f>SUMIFS(TM!R:R,TM!L:L,"OK SEMANA",TM!E:E,$B7)</f>
        <v>0</v>
      </c>
      <c r="H7" s="3"/>
      <c r="I7" s="13" t="s">
        <v>173</v>
      </c>
      <c r="J7" s="39">
        <v>1.22</v>
      </c>
      <c r="K7" s="40">
        <v>2.3E-2</v>
      </c>
      <c r="L7" s="40">
        <v>3.2000000000000001E-2</v>
      </c>
      <c r="M7" s="40">
        <f>J7-1-K7-L7</f>
        <v>0.16499999999999998</v>
      </c>
    </row>
    <row r="8" spans="1:13" x14ac:dyDescent="0.25">
      <c r="A8" s="19"/>
      <c r="B8" s="13" t="s">
        <v>174</v>
      </c>
      <c r="C8" s="8">
        <f>SUMIF(TM!E:E,B8,TM!O:O)</f>
        <v>0</v>
      </c>
      <c r="D8" s="8"/>
      <c r="E8" s="8">
        <f>SUMIFS(TM!Q:Q,TM!L:L,"OK SEMANA",TM!E:E,$B8)</f>
        <v>0</v>
      </c>
      <c r="F8" s="8">
        <f>SUMIFS(TM!R:R,TM!L:L,"OK SEMANA",TM!F:F,$B8)</f>
        <v>0</v>
      </c>
      <c r="G8" s="8">
        <f>SUMIFS(TM!R:R,TM!L:L,"OK SEMANA",TM!E:E,$B8)</f>
        <v>0</v>
      </c>
      <c r="H8" s="3"/>
      <c r="I8" s="13" t="s">
        <v>175</v>
      </c>
      <c r="J8" s="39">
        <v>1.24</v>
      </c>
      <c r="K8" s="40">
        <v>2.3E-2</v>
      </c>
      <c r="L8" s="40">
        <v>3.2000000000000001E-2</v>
      </c>
      <c r="M8" s="40">
        <f t="shared" ref="M8:M29" si="0">J8-1-K8-L8</f>
        <v>0.185</v>
      </c>
    </row>
    <row r="9" spans="1:13" x14ac:dyDescent="0.25">
      <c r="A9" s="19"/>
      <c r="B9" s="3" t="s">
        <v>176</v>
      </c>
      <c r="C9" s="8">
        <f>SUMIF(TM!E:E,B9,TM!O:O)</f>
        <v>0</v>
      </c>
      <c r="D9" s="8"/>
      <c r="E9" s="8">
        <f>SUMIFS(TM!Q:Q,TM!L:L,"OK SEMANA",TM!E:E,$B9)</f>
        <v>0</v>
      </c>
      <c r="F9" s="8">
        <f>SUMIFS(TM!R:R,TM!L:L,"OK SEMANA",TM!F:F,$B9)</f>
        <v>0</v>
      </c>
      <c r="G9" s="8">
        <f>SUMIFS(TM!R:R,TM!L:L,"OK SEMANA",TM!E:E,$B9)</f>
        <v>0</v>
      </c>
      <c r="H9" s="3"/>
      <c r="I9" s="13" t="s">
        <v>177</v>
      </c>
      <c r="J9" s="39">
        <v>1.24</v>
      </c>
      <c r="K9" s="40">
        <v>2.3E-2</v>
      </c>
      <c r="L9" s="40">
        <v>3.2000000000000001E-2</v>
      </c>
      <c r="M9" s="40">
        <f t="shared" si="0"/>
        <v>0.185</v>
      </c>
    </row>
    <row r="10" spans="1:13" x14ac:dyDescent="0.25">
      <c r="A10" s="19"/>
      <c r="B10" s="3" t="s">
        <v>178</v>
      </c>
      <c r="C10" s="8">
        <f>SUMIF(TM!E:E,B10,TM!O:O)</f>
        <v>0</v>
      </c>
      <c r="D10" s="8"/>
      <c r="E10" s="8">
        <f>SUMIFS(TM!Q:Q,TM!L:L,"OK SEMANA",TM!E:E,$B10)</f>
        <v>0</v>
      </c>
      <c r="F10" s="8">
        <f>SUMIFS(TM!R:R,TM!L:L,"OK SEMANA",TM!F:F,$B10)</f>
        <v>0</v>
      </c>
      <c r="G10" s="8">
        <f>SUMIFS(TM!R:R,TM!L:L,"OK SEMANA",TM!E:E,$B10)</f>
        <v>0</v>
      </c>
      <c r="H10" s="3"/>
      <c r="I10" s="13" t="s">
        <v>175</v>
      </c>
      <c r="J10" s="39">
        <v>1.24</v>
      </c>
      <c r="K10" s="40">
        <v>2.3E-2</v>
      </c>
      <c r="L10" s="40">
        <v>3.2000000000000001E-2</v>
      </c>
      <c r="M10" s="40">
        <f t="shared" si="0"/>
        <v>0.185</v>
      </c>
    </row>
    <row r="11" spans="1:13" x14ac:dyDescent="0.25">
      <c r="A11" s="19"/>
      <c r="B11" s="3" t="s">
        <v>179</v>
      </c>
      <c r="C11" s="8">
        <f>SUMIF(TM!E:E,B11,TM!O:O)</f>
        <v>0</v>
      </c>
      <c r="D11" s="8"/>
      <c r="E11" s="8">
        <f>SUMIFS(TM!Q:Q,TM!L:L,"OK SEMANA",TM!E:E,$B11)</f>
        <v>0</v>
      </c>
      <c r="F11" s="8">
        <f>SUMIFS(TM!R:R,TM!L:L,"OK SEMANA",TM!F:F,$B11)</f>
        <v>0</v>
      </c>
      <c r="G11" s="8">
        <f>SUMIFS(TM!R:R,TM!L:L,"OK SEMANA",TM!E:E,$B11)</f>
        <v>0</v>
      </c>
      <c r="H11" s="3"/>
      <c r="I11" s="13" t="s">
        <v>175</v>
      </c>
      <c r="J11" s="39">
        <v>1.24</v>
      </c>
      <c r="K11" s="40">
        <v>2.3E-2</v>
      </c>
      <c r="L11" s="40">
        <v>3.2000000000000001E-2</v>
      </c>
      <c r="M11" s="40">
        <f t="shared" si="0"/>
        <v>0.185</v>
      </c>
    </row>
    <row r="12" spans="1:13" x14ac:dyDescent="0.25">
      <c r="A12" s="19"/>
      <c r="B12" s="3" t="s">
        <v>180</v>
      </c>
      <c r="C12" s="8">
        <f>SUMIF(TM!E:E,B12,TM!O:O)</f>
        <v>0</v>
      </c>
      <c r="D12" s="8"/>
      <c r="E12" s="8">
        <f>SUMIFS(TM!Q:Q,TM!L:L,"OK SEMANA",TM!E:E,$B12)</f>
        <v>0</v>
      </c>
      <c r="F12" s="8">
        <f>SUMIFS(TM!R:R,TM!L:L,"OK SEMANA",TM!F:F,$B12)</f>
        <v>0</v>
      </c>
      <c r="G12" s="8">
        <f>SUMIFS(TM!R:R,TM!L:L,"OK SEMANA",TM!E:E,$B12)</f>
        <v>0</v>
      </c>
      <c r="H12" s="3"/>
      <c r="I12" s="13" t="s">
        <v>175</v>
      </c>
      <c r="J12" s="39">
        <v>1.24</v>
      </c>
      <c r="K12" s="40">
        <v>2.3E-2</v>
      </c>
      <c r="L12" s="40">
        <v>3.2000000000000001E-2</v>
      </c>
      <c r="M12" s="40">
        <f>J12-1-K12-L12</f>
        <v>0.185</v>
      </c>
    </row>
    <row r="13" spans="1:13" x14ac:dyDescent="0.25">
      <c r="A13" s="19"/>
      <c r="B13" s="3" t="s">
        <v>181</v>
      </c>
      <c r="C13" s="8">
        <f>SUMIF(TM!E:E,B13,TM!O:O)</f>
        <v>0</v>
      </c>
      <c r="D13" s="8"/>
      <c r="E13" s="8">
        <f>SUMIFS(TM!Q:Q,TM!L:L,"OK SEMANA",TM!E:E,$B13)</f>
        <v>0</v>
      </c>
      <c r="F13" s="8">
        <f>SUMIFS(TM!R:R,TM!L:L,"OK SEMANA",TM!F:F,$B13)</f>
        <v>0</v>
      </c>
      <c r="G13" s="8">
        <f>SUMIFS(TM!R:R,TM!L:L,"OK SEMANA",TM!E:E,$B13)</f>
        <v>0</v>
      </c>
      <c r="H13" s="3"/>
      <c r="I13" s="13" t="s">
        <v>175</v>
      </c>
      <c r="J13" s="39">
        <v>1.24</v>
      </c>
      <c r="K13" s="40">
        <v>2.3E-2</v>
      </c>
      <c r="L13" s="40">
        <v>3.2000000000000001E-2</v>
      </c>
      <c r="M13" s="40">
        <f t="shared" ref="M13" si="1">J13-1-K13-L13</f>
        <v>0.185</v>
      </c>
    </row>
    <row r="14" spans="1:13" x14ac:dyDescent="0.25">
      <c r="A14" s="19"/>
      <c r="B14" s="3" t="s">
        <v>391</v>
      </c>
      <c r="C14" s="8">
        <f>SUMIF(TM!E:E,B14,TM!O:O)</f>
        <v>2731137.9856451866</v>
      </c>
      <c r="D14" s="8"/>
      <c r="E14" s="8">
        <f>SUMIFS(TM!Q:Q,TM!L:L,"OK SEMANA",TM!E:E,$B14)</f>
        <v>0</v>
      </c>
      <c r="F14" s="8">
        <f>SUMIFS(TM!R:R,TM!L:L,"OK SEMANA",TM!F:F,$B14)</f>
        <v>0</v>
      </c>
      <c r="G14" s="8">
        <f>SUMIFS(TM!R:R,TM!L:L,"OK SEMANA",TM!E:E,$B14)</f>
        <v>0</v>
      </c>
      <c r="H14" s="3"/>
      <c r="I14" s="13" t="s">
        <v>338</v>
      </c>
      <c r="J14" s="152">
        <v>1.105</v>
      </c>
      <c r="K14" s="40">
        <v>2.3E-2</v>
      </c>
      <c r="L14" s="40">
        <v>3.2000000000000001E-2</v>
      </c>
      <c r="M14" s="40">
        <f t="shared" si="0"/>
        <v>4.9999999999999989E-2</v>
      </c>
    </row>
    <row r="15" spans="1:13" x14ac:dyDescent="0.25">
      <c r="A15" s="19"/>
      <c r="B15" s="3" t="s">
        <v>182</v>
      </c>
      <c r="C15" s="8">
        <f>SUMIF(TM!E:E,B15,TM!O:O)</f>
        <v>248072.31373152704</v>
      </c>
      <c r="D15" s="8"/>
      <c r="E15" s="8">
        <f>SUMIFS(TM!Q:Q,TM!L:L,"OK SEMANA",TM!E:E,$B15)</f>
        <v>0</v>
      </c>
      <c r="F15" s="8">
        <f>SUMIFS(TM!R:R,TM!L:L,"OK SEMANA",TM!F:F,$B15)</f>
        <v>0</v>
      </c>
      <c r="G15" s="8">
        <f>SUMIFS(TM!R:R,TM!L:L,"OK SEMANA",TM!E:E,$B15)</f>
        <v>0</v>
      </c>
      <c r="H15" s="3"/>
      <c r="I15" s="13" t="s">
        <v>183</v>
      </c>
      <c r="J15" s="39">
        <v>1.1922999999999999</v>
      </c>
      <c r="K15" s="40">
        <v>2.3E-2</v>
      </c>
      <c r="L15" s="40">
        <v>3.2000000000000001E-2</v>
      </c>
      <c r="M15" s="40">
        <f t="shared" si="0"/>
        <v>0.13729999999999992</v>
      </c>
    </row>
    <row r="16" spans="1:13" x14ac:dyDescent="0.25">
      <c r="A16" s="19"/>
      <c r="B16" s="3" t="s">
        <v>184</v>
      </c>
      <c r="C16" s="8">
        <f>SUMIF(TM!E:E,B16,TM!O:O)</f>
        <v>0</v>
      </c>
      <c r="D16" s="8"/>
      <c r="E16" s="8">
        <f>SUMIFS(TM!Q:Q,TM!L:L,"OK SEMANA",TM!E:E,$B16)</f>
        <v>0</v>
      </c>
      <c r="F16" s="8">
        <f>SUMIFS(TM!R:R,TM!L:L,"OK SEMANA",TM!F:F,$B16)</f>
        <v>0</v>
      </c>
      <c r="G16" s="8">
        <f>SUMIFS(TM!R:R,TM!L:L,"OK SEMANA",TM!E:E,$B16)</f>
        <v>0</v>
      </c>
      <c r="H16" s="3"/>
      <c r="I16" s="13" t="s">
        <v>183</v>
      </c>
      <c r="J16" s="39">
        <v>1.1922999999999999</v>
      </c>
      <c r="K16" s="40">
        <v>2.3E-2</v>
      </c>
      <c r="L16" s="40">
        <v>3.2000000000000001E-2</v>
      </c>
      <c r="M16" s="40">
        <f t="shared" si="0"/>
        <v>0.13729999999999992</v>
      </c>
    </row>
    <row r="17" spans="1:13" x14ac:dyDescent="0.25">
      <c r="A17" s="19"/>
      <c r="B17" s="3" t="s">
        <v>185</v>
      </c>
      <c r="C17" s="8">
        <f>SUMIF(TM!E:E,B17,TM!O:O)</f>
        <v>5208.9586683342277</v>
      </c>
      <c r="D17" s="8"/>
      <c r="E17" s="8">
        <f>SUMIFS(TM!Q:Q,TM!L:L,"OK SEMANA",TM!E:E,$B17)</f>
        <v>0</v>
      </c>
      <c r="F17" s="8">
        <f>SUMIFS(TM!R:R,TM!L:L,"OK SEMANA",TM!F:F,$B17)</f>
        <v>0</v>
      </c>
      <c r="G17" s="8">
        <f>SUMIFS(TM!R:R,TM!L:L,"OK SEMANA",TM!E:E,$B17)</f>
        <v>0</v>
      </c>
      <c r="H17" s="3"/>
      <c r="I17" s="13" t="s">
        <v>186</v>
      </c>
      <c r="J17" s="39">
        <v>1.1579999999999999</v>
      </c>
      <c r="K17" s="40">
        <v>2.3E-2</v>
      </c>
      <c r="L17" s="40">
        <v>3.2000000000000001E-2</v>
      </c>
      <c r="M17" s="40">
        <f t="shared" si="0"/>
        <v>0.10299999999999992</v>
      </c>
    </row>
    <row r="18" spans="1:13" x14ac:dyDescent="0.25">
      <c r="A18" s="19"/>
      <c r="B18" s="13" t="s">
        <v>187</v>
      </c>
      <c r="C18" s="8">
        <f>SUMIF(TM!E:E,B18,TM!O:O)</f>
        <v>0</v>
      </c>
      <c r="D18" s="8"/>
      <c r="E18" s="8">
        <f>SUMIFS(TM!Q:Q,TM!L:L,"OK SEMANA",TM!E:E,$B18)</f>
        <v>0</v>
      </c>
      <c r="F18" s="8">
        <f>SUMIFS(TM!R:R,TM!L:L,"OK SEMANA",TM!F:F,$B18)</f>
        <v>0</v>
      </c>
      <c r="G18" s="8">
        <f>SUMIFS(TM!R:R,TM!L:L,"OK SEMANA",TM!E:E,$B18)</f>
        <v>0</v>
      </c>
      <c r="H18" s="3"/>
      <c r="I18" s="13" t="s">
        <v>186</v>
      </c>
      <c r="J18" s="39">
        <v>1.1579999999999999</v>
      </c>
      <c r="K18" s="40">
        <v>2.3E-2</v>
      </c>
      <c r="L18" s="40">
        <v>3.2000000000000001E-2</v>
      </c>
      <c r="M18" s="40">
        <f t="shared" si="0"/>
        <v>0.10299999999999992</v>
      </c>
    </row>
    <row r="19" spans="1:13" x14ac:dyDescent="0.25">
      <c r="A19" s="19"/>
      <c r="B19" s="13" t="s">
        <v>188</v>
      </c>
      <c r="C19" s="8">
        <f>SUMIF(TM!E:E,B19,TM!O:O)</f>
        <v>0</v>
      </c>
      <c r="D19" s="8"/>
      <c r="E19" s="8">
        <f>SUMIFS(TM!Q:Q,TM!L:L,"OK SEMANA",TM!E:E,$B19)</f>
        <v>0</v>
      </c>
      <c r="F19" s="8">
        <f>SUMIFS(TM!R:R,TM!L:L,"OK SEMANA",TM!F:F,$B19)</f>
        <v>0</v>
      </c>
      <c r="G19" s="8">
        <f>SUMIFS(TM!R:R,TM!L:L,"OK SEMANA",TM!E:E,$B19)</f>
        <v>0</v>
      </c>
      <c r="H19" s="3"/>
      <c r="I19" s="13" t="s">
        <v>186</v>
      </c>
      <c r="J19" s="39">
        <v>1.1579999999999999</v>
      </c>
      <c r="K19" s="40">
        <v>2.3E-2</v>
      </c>
      <c r="L19" s="40">
        <v>3.2000000000000001E-2</v>
      </c>
      <c r="M19" s="40">
        <f t="shared" si="0"/>
        <v>0.10299999999999992</v>
      </c>
    </row>
    <row r="20" spans="1:13" x14ac:dyDescent="0.25">
      <c r="A20" s="19"/>
      <c r="B20" s="3" t="s">
        <v>189</v>
      </c>
      <c r="C20" s="8">
        <f>SUMIF(TM!E:E,B20,TM!O:O)</f>
        <v>0</v>
      </c>
      <c r="D20" s="8"/>
      <c r="E20" s="8">
        <f>SUMIFS(TM!Q:Q,TM!L:L,"OK SEMANA",TM!E:E,$B20)</f>
        <v>0</v>
      </c>
      <c r="F20" s="8">
        <f>SUMIFS(TM!R:R,TM!L:L,"OK SEMANA",TM!F:F,$B20)</f>
        <v>0</v>
      </c>
      <c r="G20" s="8">
        <f>SUMIFS(TM!R:R,TM!L:L,"OK SEMANA",TM!E:E,$B20)</f>
        <v>0</v>
      </c>
      <c r="H20" s="3"/>
      <c r="I20" s="13" t="s">
        <v>190</v>
      </c>
      <c r="J20" s="39">
        <v>1.165</v>
      </c>
      <c r="K20" s="40">
        <v>2.3E-2</v>
      </c>
      <c r="L20" s="40">
        <v>3.2000000000000001E-2</v>
      </c>
      <c r="M20" s="40">
        <f t="shared" si="0"/>
        <v>0.11000000000000004</v>
      </c>
    </row>
    <row r="21" spans="1:13" x14ac:dyDescent="0.25">
      <c r="A21" s="19"/>
      <c r="B21" s="13" t="s">
        <v>191</v>
      </c>
      <c r="C21" s="8">
        <f>SUMIF(TM!E:E,B21,TM!O:O)</f>
        <v>0</v>
      </c>
      <c r="D21" s="8"/>
      <c r="E21" s="8">
        <f>SUMIFS(TM!Q:Q,TM!L:L,"OK SEMANA",TM!E:E,$B21)</f>
        <v>0</v>
      </c>
      <c r="F21" s="8">
        <f>SUMIFS(TM!R:R,TM!L:L,"OK SEMANA",TM!F:F,$B21)</f>
        <v>0</v>
      </c>
      <c r="G21" s="8">
        <f>SUMIFS(TM!R:R,TM!L:L,"OK SEMANA",TM!E:E,$B21)</f>
        <v>0</v>
      </c>
      <c r="H21" s="3"/>
      <c r="I21" s="13" t="s">
        <v>192</v>
      </c>
      <c r="J21" s="39">
        <v>1.165</v>
      </c>
      <c r="K21" s="40">
        <v>2.3E-2</v>
      </c>
      <c r="L21" s="40">
        <v>3.2000000000000001E-2</v>
      </c>
      <c r="M21" s="40">
        <f t="shared" si="0"/>
        <v>0.11000000000000004</v>
      </c>
    </row>
    <row r="22" spans="1:13" x14ac:dyDescent="0.25">
      <c r="A22" s="19"/>
      <c r="B22" s="13" t="s">
        <v>193</v>
      </c>
      <c r="C22" s="8">
        <f>SUMIF(TM!E:E,B22,TM!O:O)</f>
        <v>0</v>
      </c>
      <c r="D22" s="8"/>
      <c r="E22" s="8">
        <f>SUMIFS(TM!Q:Q,TM!L:L,"OK SEMANA",TM!E:E,$B22)</f>
        <v>0</v>
      </c>
      <c r="F22" s="8">
        <f>SUMIFS(TM!R:R,TM!L:L,"OK SEMANA",TM!F:F,$B22)</f>
        <v>0</v>
      </c>
      <c r="G22" s="8">
        <f>SUMIFS(TM!R:R,TM!L:L,"OK SEMANA",TM!E:E,$B22)</f>
        <v>0</v>
      </c>
      <c r="H22" s="3"/>
      <c r="I22" s="13" t="s">
        <v>192</v>
      </c>
      <c r="J22" s="39">
        <v>1.165</v>
      </c>
      <c r="K22" s="40">
        <v>2.3E-2</v>
      </c>
      <c r="L22" s="40">
        <v>3.2000000000000001E-2</v>
      </c>
      <c r="M22" s="40">
        <f t="shared" si="0"/>
        <v>0.11000000000000004</v>
      </c>
    </row>
    <row r="23" spans="1:13" x14ac:dyDescent="0.25">
      <c r="A23" s="19"/>
      <c r="B23" s="13" t="s">
        <v>194</v>
      </c>
      <c r="C23" s="8">
        <f>SUMIF(TM!E:E,B23,TM!O:O)</f>
        <v>0</v>
      </c>
      <c r="D23" s="8"/>
      <c r="E23" s="8">
        <f>SUMIFS(TM!Q:Q,TM!L:L,"OK SEMANA",TM!E:E,$B23)</f>
        <v>0</v>
      </c>
      <c r="F23" s="8">
        <f>SUMIFS(TM!R:R,TM!L:L,"OK SEMANA",TM!F:F,$B23)</f>
        <v>0</v>
      </c>
      <c r="G23" s="8">
        <f>SUMIFS(TM!R:R,TM!L:L,"OK SEMANA",TM!E:E,$B23)</f>
        <v>0</v>
      </c>
      <c r="H23" s="3"/>
      <c r="I23" s="13" t="s">
        <v>192</v>
      </c>
      <c r="J23" s="39">
        <v>1.165</v>
      </c>
      <c r="K23" s="40">
        <v>2.3E-2</v>
      </c>
      <c r="L23" s="40">
        <v>3.2000000000000001E-2</v>
      </c>
      <c r="M23" s="40">
        <f t="shared" si="0"/>
        <v>0.11000000000000004</v>
      </c>
    </row>
    <row r="24" spans="1:13" x14ac:dyDescent="0.25">
      <c r="A24" s="19"/>
      <c r="B24" s="13" t="s">
        <v>195</v>
      </c>
      <c r="C24" s="8">
        <f>SUMIF(TM!E:E,B24,TM!O:O)</f>
        <v>0</v>
      </c>
      <c r="D24" s="8"/>
      <c r="E24" s="8">
        <f>SUMIFS(TM!Q:Q,TM!L:L,"OK SEMANA",TM!E:E,$B24)</f>
        <v>0</v>
      </c>
      <c r="F24" s="8">
        <f>SUMIFS(TM!R:R,TM!L:L,"OK SEMANA",TM!F:F,$B24)</f>
        <v>0</v>
      </c>
      <c r="G24" s="8">
        <f>SUMIFS(TM!R:R,TM!L:L,"OK SEMANA",TM!E:E,$B24)</f>
        <v>0</v>
      </c>
      <c r="H24" s="3"/>
      <c r="I24" s="13" t="s">
        <v>192</v>
      </c>
      <c r="J24" s="39">
        <v>1.165</v>
      </c>
      <c r="K24" s="40">
        <v>2.3E-2</v>
      </c>
      <c r="L24" s="40">
        <v>3.2000000000000001E-2</v>
      </c>
      <c r="M24" s="40">
        <f t="shared" si="0"/>
        <v>0.11000000000000004</v>
      </c>
    </row>
    <row r="25" spans="1:13" x14ac:dyDescent="0.25">
      <c r="A25" s="19"/>
      <c r="B25" s="13" t="s">
        <v>196</v>
      </c>
      <c r="C25" s="8">
        <f>SUMIF(TM!E:E,B25,TM!O:O)</f>
        <v>0</v>
      </c>
      <c r="D25" s="8"/>
      <c r="E25" s="8">
        <f>SUMIFS(TM!Q:Q,TM!L:L,"OK SEMANA",TM!E:E,$B25)</f>
        <v>0</v>
      </c>
      <c r="F25" s="8">
        <f>SUMIFS(TM!R:R,TM!L:L,"OK SEMANA",TM!F:F,$B25)</f>
        <v>0</v>
      </c>
      <c r="G25" s="8">
        <f>SUMIFS(TM!R:R,TM!L:L,"OK SEMANA",TM!E:E,$B25)</f>
        <v>0</v>
      </c>
      <c r="H25" s="3"/>
      <c r="I25" s="13" t="s">
        <v>192</v>
      </c>
      <c r="J25" s="39">
        <v>1.165</v>
      </c>
      <c r="K25" s="40">
        <v>2.3E-2</v>
      </c>
      <c r="L25" s="40">
        <v>3.2000000000000001E-2</v>
      </c>
      <c r="M25" s="40">
        <f t="shared" si="0"/>
        <v>0.11000000000000004</v>
      </c>
    </row>
    <row r="26" spans="1:13" x14ac:dyDescent="0.25">
      <c r="A26" s="19"/>
      <c r="B26" s="13" t="s">
        <v>197</v>
      </c>
      <c r="C26" s="8">
        <f>SUMIF(TM!E:E,B26,TM!O:O)</f>
        <v>0</v>
      </c>
      <c r="D26" s="8"/>
      <c r="E26" s="8">
        <f>SUMIFS(TM!Q:Q,TM!L:L,"OK SEMANA",TM!E:E,$B26)</f>
        <v>0</v>
      </c>
      <c r="F26" s="8">
        <f>SUMIFS(TM!R:R,TM!L:L,"OK SEMANA",TM!F:F,$B26)</f>
        <v>0</v>
      </c>
      <c r="G26" s="8">
        <f>SUMIFS(TM!R:R,TM!L:L,"OK SEMANA",TM!E:E,$B26)</f>
        <v>0</v>
      </c>
      <c r="H26" s="3"/>
      <c r="I26" s="13" t="s">
        <v>198</v>
      </c>
      <c r="J26" s="39">
        <v>1.165</v>
      </c>
      <c r="K26" s="40">
        <v>2.3E-2</v>
      </c>
      <c r="L26" s="40">
        <v>3.2000000000000001E-2</v>
      </c>
      <c r="M26" s="40">
        <f t="shared" si="0"/>
        <v>0.11000000000000004</v>
      </c>
    </row>
    <row r="27" spans="1:13" x14ac:dyDescent="0.25">
      <c r="A27" s="19"/>
      <c r="B27" s="3" t="s">
        <v>199</v>
      </c>
      <c r="C27" s="8">
        <f>SUMIF(TM!E:E,B27,TM!O:O)</f>
        <v>0</v>
      </c>
      <c r="D27" s="8"/>
      <c r="E27" s="8">
        <f>SUMIFS(TM!Q:Q,TM!L:L,"OK SEMANA",TM!E:E,$B27)</f>
        <v>0</v>
      </c>
      <c r="F27" s="8">
        <f>SUMIFS(TM!R:R,TM!L:L,"OK SEMANA",TM!F:F,$B27)</f>
        <v>0</v>
      </c>
      <c r="G27" s="8">
        <f>SUMIFS(TM!R:R,TM!L:L,"OK SEMANA",TM!E:E,$B27)</f>
        <v>0</v>
      </c>
      <c r="H27" s="3"/>
      <c r="I27" s="13" t="s">
        <v>190</v>
      </c>
      <c r="J27" s="39">
        <v>1.165</v>
      </c>
      <c r="K27" s="40">
        <v>2.3E-2</v>
      </c>
      <c r="L27" s="40">
        <v>3.2000000000000001E-2</v>
      </c>
      <c r="M27" s="40">
        <f t="shared" si="0"/>
        <v>0.11000000000000004</v>
      </c>
    </row>
    <row r="28" spans="1:13" x14ac:dyDescent="0.25">
      <c r="A28" s="19"/>
      <c r="B28" s="3" t="s">
        <v>200</v>
      </c>
      <c r="C28" s="8">
        <f>SUMIF(TM!E:E,B28,TM!O:O)</f>
        <v>0</v>
      </c>
      <c r="D28" s="8"/>
      <c r="E28" s="8">
        <f>SUMIFS(TM!Q:Q,TM!L:L,"OK SEMANA",TM!E:E,$B28)</f>
        <v>0</v>
      </c>
      <c r="F28" s="8">
        <f>SUMIFS(TM!R:R,TM!L:L,"OK SEMANA",TM!F:F,$B28)</f>
        <v>0</v>
      </c>
      <c r="G28" s="8">
        <f>SUMIFS(TM!R:R,TM!L:L,"OK SEMANA",TM!E:E,$B28)</f>
        <v>0</v>
      </c>
      <c r="H28" s="3"/>
      <c r="I28" s="13" t="s">
        <v>190</v>
      </c>
      <c r="J28" s="39">
        <v>1.1399999999999999</v>
      </c>
      <c r="K28" s="40">
        <v>2.3E-2</v>
      </c>
      <c r="L28" s="40">
        <v>3.2000000000000001E-2</v>
      </c>
      <c r="M28" s="40">
        <f t="shared" si="0"/>
        <v>8.4999999999999909E-2</v>
      </c>
    </row>
    <row r="29" spans="1:13" x14ac:dyDescent="0.25">
      <c r="A29" s="19"/>
      <c r="B29" s="3" t="s">
        <v>201</v>
      </c>
      <c r="C29" s="8">
        <f>SUMIF(TM!E:E,B29,TM!O:O)</f>
        <v>85018.110879904882</v>
      </c>
      <c r="D29" s="8"/>
      <c r="E29" s="8">
        <f>SUMIFS(TM!Q:Q,TM!L:L,"OK SEMANA",TM!E:E,$B29)</f>
        <v>0</v>
      </c>
      <c r="F29" s="8">
        <f>SUMIFS(TM!R:R,TM!L:L,"OK SEMANA",TM!F:F,$B29)</f>
        <v>0</v>
      </c>
      <c r="G29" s="8">
        <f>SUMIFS(TM!R:R,TM!L:L,"OK SEMANA",TM!E:E,$B29)</f>
        <v>0</v>
      </c>
      <c r="H29" s="3"/>
      <c r="I29" s="13" t="s">
        <v>202</v>
      </c>
      <c r="J29" s="39">
        <v>1.1599999999999999</v>
      </c>
      <c r="K29" s="37">
        <v>2.3E-2</v>
      </c>
      <c r="L29" s="37">
        <v>3.2000000000000001E-2</v>
      </c>
      <c r="M29" s="37">
        <f t="shared" si="0"/>
        <v>0.10499999999999993</v>
      </c>
    </row>
    <row r="30" spans="1:13" x14ac:dyDescent="0.25">
      <c r="A30" s="19"/>
      <c r="B30" s="3" t="s">
        <v>203</v>
      </c>
      <c r="C30" s="8">
        <f>SUMIF(TM!E:E,B30,TM!O:O)</f>
        <v>0</v>
      </c>
      <c r="D30" s="8"/>
      <c r="E30" s="8">
        <f>SUMIFS(TM!Q:Q,TM!L:L,"OK SEMANA",TM!E:E,$B30)</f>
        <v>0</v>
      </c>
      <c r="F30" s="8">
        <f>SUMIFS(TM!R:R,TM!L:L,"OK SEMANA",TM!F:F,$B30)</f>
        <v>0</v>
      </c>
      <c r="G30" s="8">
        <f>SUMIFS(TM!R:R,TM!L:L,"OK SEMANA",TM!E:E,$B30)</f>
        <v>0</v>
      </c>
      <c r="H30" s="3"/>
      <c r="I30" s="13" t="s">
        <v>202</v>
      </c>
      <c r="J30" s="39">
        <v>1.1599999999999999</v>
      </c>
      <c r="K30" s="37">
        <v>2.3E-2</v>
      </c>
      <c r="L30" s="37">
        <v>3.2000000000000001E-2</v>
      </c>
      <c r="M30" s="37">
        <f t="shared" ref="M30" si="2">J30-1-K30-L30</f>
        <v>0.10499999999999993</v>
      </c>
    </row>
    <row r="31" spans="1:13" x14ac:dyDescent="0.25">
      <c r="A31" s="19"/>
      <c r="B31" s="3" t="s">
        <v>204</v>
      </c>
      <c r="C31" s="8">
        <f>SUMIF(TM!E:E,B31,TM!O:O)</f>
        <v>0</v>
      </c>
      <c r="D31" s="8"/>
      <c r="E31" s="8">
        <f>SUMIFS(TM!Q:Q,TM!L:L,"OK SEMANA",TM!E:E,$B31)</f>
        <v>0</v>
      </c>
      <c r="F31" s="8">
        <f>SUMIFS(TM!R:R,TM!L:L,"OK SEMANA",TM!F:F,$B31)</f>
        <v>0</v>
      </c>
      <c r="G31" s="8">
        <f>SUMIFS(TM!R:R,TM!L:L,"OK SEMANA",TM!E:E,$B31)</f>
        <v>0</v>
      </c>
      <c r="H31" s="3"/>
      <c r="I31" s="13" t="s">
        <v>202</v>
      </c>
      <c r="J31" s="39">
        <v>1.1299999999999999</v>
      </c>
      <c r="K31" s="37">
        <v>2.3E-2</v>
      </c>
      <c r="L31" s="37">
        <v>3.2000000000000001E-2</v>
      </c>
      <c r="M31" s="37">
        <f>J31-1-K31-L31</f>
        <v>7.49999999999999E-2</v>
      </c>
    </row>
    <row r="32" spans="1:13" x14ac:dyDescent="0.25">
      <c r="A32" s="19"/>
      <c r="B32" s="3" t="s">
        <v>350</v>
      </c>
      <c r="C32" s="8">
        <f>SUMIF(TM!E:E,B32,TM!O:O)</f>
        <v>0</v>
      </c>
      <c r="D32" s="8"/>
      <c r="E32" s="8">
        <f>SUMIFS(TM!Q:Q,TM!L:L,"OK SEMANA",TM!E:E,$B32)</f>
        <v>0</v>
      </c>
      <c r="F32" s="8">
        <f>SUMIFS(TM!R:R,TM!L:L,"OK SEMANA",TM!F:F,$B32)</f>
        <v>0</v>
      </c>
      <c r="G32" s="8">
        <f>SUMIFS(TM!R:R,TM!L:L,"OK SEMANA",TM!E:E,$B32)</f>
        <v>0</v>
      </c>
      <c r="H32" s="3"/>
      <c r="I32" s="13" t="s">
        <v>382</v>
      </c>
      <c r="J32" s="39">
        <v>1.1299999999999999</v>
      </c>
      <c r="K32" s="37">
        <v>2.3E-2</v>
      </c>
      <c r="L32" s="37">
        <v>3.2000000000000001E-2</v>
      </c>
      <c r="M32" s="37">
        <f>J32-1-K32-L32</f>
        <v>7.49999999999999E-2</v>
      </c>
    </row>
    <row r="33" spans="1:13" x14ac:dyDescent="0.25">
      <c r="A33" s="19"/>
      <c r="B33" s="3" t="s">
        <v>205</v>
      </c>
      <c r="C33" s="8">
        <f>SUMIF(TM!E:E,B33,TM!O:O)</f>
        <v>0</v>
      </c>
      <c r="D33" s="8"/>
      <c r="E33" s="8">
        <f>SUMIFS(TM!Q:Q,TM!L:L,"OK SEMANA",TM!E:E,$B33)</f>
        <v>0</v>
      </c>
      <c r="F33" s="8">
        <f>SUMIFS(TM!R:R,TM!L:L,"OK SEMANA",TM!F:F,$B33)</f>
        <v>0</v>
      </c>
      <c r="G33" s="8">
        <f>SUMIFS(TM!R:R,TM!L:L,"OK SEMANA",TM!E:E,$B33)</f>
        <v>0</v>
      </c>
      <c r="H33" s="3"/>
      <c r="I33" s="13" t="s">
        <v>78</v>
      </c>
      <c r="J33" s="39">
        <v>1</v>
      </c>
      <c r="K33" s="40">
        <v>0</v>
      </c>
      <c r="L33" s="40">
        <v>0</v>
      </c>
      <c r="M33" s="40">
        <v>0</v>
      </c>
    </row>
    <row r="34" spans="1:13" x14ac:dyDescent="0.25">
      <c r="A34" s="29"/>
      <c r="B34" s="34"/>
      <c r="C34" s="12">
        <f>SUBTOTAL(9,C7:C33)</f>
        <v>3069437.368924953</v>
      </c>
      <c r="D34" s="41"/>
      <c r="E34" s="12">
        <f>SUBTOTAL(9,E7:E33)</f>
        <v>0</v>
      </c>
      <c r="F34" s="12">
        <f>SUBTOTAL(9,F7:F33)</f>
        <v>0</v>
      </c>
      <c r="G34" s="12">
        <f>SUBTOTAL(9,G7:G33)</f>
        <v>0</v>
      </c>
      <c r="H34" s="4" t="s">
        <v>5</v>
      </c>
      <c r="I34" s="3"/>
      <c r="J34" s="3"/>
      <c r="K34" s="37"/>
      <c r="L34" s="37"/>
      <c r="M34" s="37"/>
    </row>
    <row r="35" spans="1:13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7"/>
      <c r="L35" s="37"/>
      <c r="M35" s="37"/>
    </row>
    <row r="36" spans="1:13" x14ac:dyDescent="0.25">
      <c r="A36" s="3"/>
      <c r="B36" s="3"/>
      <c r="C36" s="3"/>
      <c r="D36" s="3"/>
      <c r="E36" s="3"/>
      <c r="F36" s="3"/>
      <c r="G36" s="3"/>
      <c r="H36" s="3"/>
      <c r="I36" s="42"/>
      <c r="J36" s="3"/>
      <c r="K36" s="37"/>
      <c r="L36" s="37"/>
      <c r="M36" s="37"/>
    </row>
    <row r="37" spans="1:13" ht="15.75" thickBot="1" x14ac:dyDescent="0.3">
      <c r="A37" s="3"/>
      <c r="B37" s="15" t="s">
        <v>167</v>
      </c>
      <c r="C37" s="16">
        <f>SUBTOTAL(9,C5:C35)</f>
        <v>3069437.368924953</v>
      </c>
      <c r="D37" s="41"/>
      <c r="E37" s="41"/>
      <c r="F37" s="41"/>
      <c r="G37" s="41"/>
      <c r="H37" s="3"/>
      <c r="I37" s="3"/>
      <c r="J37" s="3"/>
      <c r="K37" s="37"/>
      <c r="L37" s="37"/>
      <c r="M37" s="37"/>
    </row>
    <row r="38" spans="1:13" ht="15.75" thickTop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7"/>
      <c r="L38" s="37"/>
      <c r="M38" s="37"/>
    </row>
    <row r="39" spans="1:13" x14ac:dyDescent="0.25">
      <c r="A39" s="3"/>
      <c r="B39" s="35" t="s">
        <v>168</v>
      </c>
      <c r="C39" s="3"/>
      <c r="D39" s="3"/>
      <c r="E39" s="3"/>
      <c r="F39" s="3"/>
      <c r="G39" s="3"/>
      <c r="H39" s="3"/>
      <c r="I39" s="3"/>
      <c r="J39" s="3"/>
      <c r="K39" s="37"/>
      <c r="L39" s="37"/>
      <c r="M39" s="37"/>
    </row>
    <row r="40" spans="1:13" x14ac:dyDescent="0.25">
      <c r="A40" s="3"/>
      <c r="B40" s="35" t="s">
        <v>169</v>
      </c>
      <c r="C40" s="3"/>
      <c r="D40" s="3"/>
      <c r="E40" s="3"/>
      <c r="F40" s="3"/>
      <c r="G40" s="3"/>
      <c r="H40" s="3"/>
      <c r="I40" s="3"/>
      <c r="J40" s="3"/>
      <c r="K40" s="37"/>
      <c r="L40" s="37"/>
      <c r="M40" s="37"/>
    </row>
    <row r="41" spans="1:13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7"/>
      <c r="L41" s="37"/>
      <c r="M41" s="37"/>
    </row>
    <row r="42" spans="1:13" x14ac:dyDescent="0.25">
      <c r="A42" s="3"/>
      <c r="B42" s="3" t="s">
        <v>75</v>
      </c>
      <c r="C42" s="8">
        <f>SUMIF(TM!E:E,B42,TM!O:O)</f>
        <v>0</v>
      </c>
      <c r="D42" s="8"/>
      <c r="E42" s="8">
        <f>SUMIFS(TM!Q:Q,TM!L:L,"OK SEMANA",TM!E:E,$B42)</f>
        <v>0</v>
      </c>
      <c r="F42" s="8">
        <f>SUMIFS(TM!R:R,TM!L:L,"OK SEMANA",TM!F:F,$B42)</f>
        <v>0</v>
      </c>
      <c r="G42" s="8">
        <f>SUMIFS(TM!R:R,TM!L:L,"OK SEMANA",TM!E:E,$B42)</f>
        <v>0</v>
      </c>
      <c r="H42" s="3"/>
      <c r="I42" s="3" t="s">
        <v>341</v>
      </c>
      <c r="J42" s="3"/>
      <c r="K42" s="37"/>
      <c r="L42" s="37"/>
      <c r="M42" s="37"/>
    </row>
    <row r="43" spans="1:13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7"/>
      <c r="L43" s="37"/>
      <c r="M43" s="37"/>
    </row>
    <row r="44" spans="1:13" x14ac:dyDescent="0.25">
      <c r="A44" s="3"/>
      <c r="B44" s="3" t="s">
        <v>77</v>
      </c>
      <c r="C44" s="8">
        <f>SUMIF(TM!E:E,B44,TM!O:O)</f>
        <v>0</v>
      </c>
      <c r="D44" s="8"/>
      <c r="E44" s="8">
        <f>SUMIFS(TM!Q:Q,TM!L:L,"OK SEMANA",TM!E:E,$B44)</f>
        <v>0</v>
      </c>
      <c r="F44" s="8">
        <f>SUMIFS(TM!R:R,TM!L:L,"OK SEMANA",TM!F:F,$B44)</f>
        <v>0</v>
      </c>
      <c r="G44" s="8">
        <f>SUMIFS(TM!R:R,TM!L:L,"OK SEMANA",TM!E:E,$B44)</f>
        <v>0</v>
      </c>
      <c r="H44" s="3"/>
      <c r="I44" s="3" t="s">
        <v>78</v>
      </c>
      <c r="J44" s="3"/>
      <c r="K44" s="37"/>
      <c r="L44" s="37"/>
      <c r="M44" s="37"/>
    </row>
    <row r="45" spans="1:13" x14ac:dyDescent="0.25">
      <c r="A45" s="3"/>
      <c r="B45" s="3" t="s">
        <v>79</v>
      </c>
      <c r="C45" s="8">
        <f>SUMIF(TM!E:E,B45,TM!O:O)</f>
        <v>0</v>
      </c>
      <c r="D45" s="8"/>
      <c r="E45" s="8">
        <f>SUMIFS(TM!Q:Q,TM!L:L,"OK SEMANA",TM!E:E,$B45)</f>
        <v>0</v>
      </c>
      <c r="F45" s="8">
        <f>SUMIFS(TM!R:R,TM!L:L,"OK SEMANA",TM!F:F,$B45)</f>
        <v>0</v>
      </c>
      <c r="G45" s="8">
        <f>SUMIFS(TM!R:R,TM!L:L,"OK SEMANA",TM!E:E,$B45)</f>
        <v>0</v>
      </c>
      <c r="H45" s="3"/>
      <c r="I45" s="3" t="s">
        <v>78</v>
      </c>
      <c r="J45" s="3"/>
      <c r="K45" s="37"/>
      <c r="L45" s="37"/>
      <c r="M45" s="37"/>
    </row>
    <row r="46" spans="1:13" x14ac:dyDescent="0.25">
      <c r="A46" s="3"/>
      <c r="B46" s="3" t="s">
        <v>206</v>
      </c>
      <c r="C46" s="8">
        <f>SUMIF(TM!E:E,B46,TM!O:O)</f>
        <v>0</v>
      </c>
      <c r="D46" s="8"/>
      <c r="E46" s="8">
        <f>SUMIFS(TM!Q:Q,TM!L:L,"OK SEMANA",TM!E:E,$B46)</f>
        <v>0</v>
      </c>
      <c r="F46" s="8">
        <f>SUMIFS(TM!R:R,TM!L:L,"OK SEMANA",TM!F:F,$B46)</f>
        <v>0</v>
      </c>
      <c r="G46" s="8">
        <f>SUMIFS(TM!R:R,TM!L:L,"OK SEMANA",TM!E:E,$B46)</f>
        <v>0</v>
      </c>
      <c r="H46" s="3"/>
      <c r="I46" s="3" t="s">
        <v>78</v>
      </c>
      <c r="J46" s="3"/>
      <c r="K46" s="37"/>
      <c r="L46" s="37"/>
      <c r="M46" s="37"/>
    </row>
    <row r="47" spans="1:13" x14ac:dyDescent="0.25">
      <c r="A47" s="3"/>
      <c r="B47" s="3" t="s">
        <v>207</v>
      </c>
      <c r="C47" s="8">
        <f>SUMIF(TM!E:E,B47,TM!O:O)</f>
        <v>0</v>
      </c>
      <c r="D47" s="8"/>
      <c r="E47" s="8">
        <f>SUMIFS(TM!Q:Q,TM!L:L,"OK SEMANA",TM!E:E,$B47)</f>
        <v>0</v>
      </c>
      <c r="F47" s="8">
        <f>SUMIFS(TM!R:R,TM!L:L,"OK SEMANA",TM!F:F,$B47)</f>
        <v>0</v>
      </c>
      <c r="G47" s="8">
        <f>SUMIFS(TM!R:R,TM!L:L,"OK SEMANA",TM!E:E,$B47)</f>
        <v>0</v>
      </c>
      <c r="H47" s="3"/>
      <c r="I47" s="3" t="s">
        <v>78</v>
      </c>
      <c r="J47" s="3"/>
      <c r="K47" s="37"/>
      <c r="L47" s="37"/>
      <c r="M47" s="37"/>
    </row>
    <row r="48" spans="1:13" x14ac:dyDescent="0.25">
      <c r="A48" s="3"/>
      <c r="B48" s="3" t="s">
        <v>208</v>
      </c>
      <c r="C48" s="8">
        <f>SUMIF(TM!E:E,B48,TM!O:O)</f>
        <v>0</v>
      </c>
      <c r="D48" s="8"/>
      <c r="E48" s="8">
        <f>SUMIFS(TM!Q:Q,TM!L:L,"OK SEMANA",TM!E:E,$B48)</f>
        <v>0</v>
      </c>
      <c r="F48" s="8">
        <f>SUMIFS(TM!R:R,TM!L:L,"OK SEMANA",TM!F:F,$B48)</f>
        <v>0</v>
      </c>
      <c r="G48" s="8">
        <f>SUMIFS(TM!R:R,TM!L:L,"OK SEMANA",TM!E:E,$B48)</f>
        <v>0</v>
      </c>
      <c r="H48" s="4" t="s">
        <v>5</v>
      </c>
      <c r="I48" s="3"/>
      <c r="J48" s="3"/>
      <c r="K48" s="37"/>
      <c r="L48" s="37"/>
      <c r="M48" s="37"/>
    </row>
    <row r="49" spans="1:13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7"/>
      <c r="L49" s="37"/>
      <c r="M49" s="37"/>
    </row>
    <row r="50" spans="1:13" ht="15.75" thickBot="1" x14ac:dyDescent="0.3">
      <c r="A50" s="3"/>
      <c r="B50" s="4" t="s">
        <v>80</v>
      </c>
      <c r="C50" s="16">
        <f>SUBTOTAL(9,C44:C49)</f>
        <v>0</v>
      </c>
      <c r="D50" s="41"/>
      <c r="E50" s="41"/>
      <c r="F50" s="41"/>
      <c r="G50" s="41"/>
      <c r="H50" s="3"/>
      <c r="I50" s="3"/>
      <c r="J50" s="3"/>
      <c r="K50" s="37"/>
      <c r="L50" s="37"/>
      <c r="M50" s="37"/>
    </row>
    <row r="51" spans="1:13" ht="15.75" thickTop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7"/>
      <c r="L51" s="37"/>
      <c r="M51" s="37"/>
    </row>
    <row r="52" spans="1:13" ht="15.75" thickBot="1" x14ac:dyDescent="0.3">
      <c r="A52" s="3"/>
      <c r="B52" s="3" t="s">
        <v>81</v>
      </c>
      <c r="C52" s="16">
        <f>SUBTOTAL(9,C6:C50)</f>
        <v>3069437.368924953</v>
      </c>
      <c r="D52" s="41"/>
      <c r="E52" s="41"/>
      <c r="F52" s="41"/>
      <c r="G52" s="41"/>
      <c r="H52" s="17"/>
      <c r="I52" s="3"/>
      <c r="J52" s="3"/>
      <c r="K52" s="37"/>
      <c r="L52" s="37"/>
      <c r="M52" s="37"/>
    </row>
    <row r="53" spans="1:13" ht="15.75" thickTop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7"/>
      <c r="L53" s="37"/>
      <c r="M53" s="37"/>
    </row>
    <row r="54" spans="1:13" x14ac:dyDescent="0.25">
      <c r="A54" s="3"/>
      <c r="B54" s="3"/>
      <c r="C54" s="36" t="s">
        <v>172</v>
      </c>
      <c r="D54" s="36"/>
      <c r="E54" s="36"/>
      <c r="F54" s="36"/>
      <c r="G54" s="36"/>
      <c r="H54" s="3"/>
      <c r="I54" s="3"/>
      <c r="J54" s="3"/>
      <c r="K54" s="37"/>
      <c r="L54" s="37"/>
      <c r="M54" s="37"/>
    </row>
    <row r="55" spans="1:13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7"/>
      <c r="L55" s="37"/>
      <c r="M55" s="37"/>
    </row>
    <row r="56" spans="1:13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7"/>
      <c r="L56" s="37"/>
      <c r="M56" s="37"/>
    </row>
    <row r="57" spans="1:13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7"/>
      <c r="L57" s="37"/>
      <c r="M57" s="37"/>
    </row>
    <row r="58" spans="1:13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7"/>
      <c r="L58" s="37"/>
      <c r="M58" s="37"/>
    </row>
    <row r="59" spans="1:13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7"/>
      <c r="L59" s="37"/>
      <c r="M59" s="37"/>
    </row>
    <row r="60" spans="1:13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7"/>
      <c r="L60" s="37"/>
      <c r="M60" s="37"/>
    </row>
    <row r="61" spans="1:13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7"/>
      <c r="L61" s="37"/>
      <c r="M61" s="37"/>
    </row>
    <row r="62" spans="1:13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7"/>
      <c r="L62" s="37"/>
      <c r="M62" s="37"/>
    </row>
    <row r="63" spans="1:13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7"/>
      <c r="L63" s="37"/>
      <c r="M63" s="37"/>
    </row>
    <row r="64" spans="1:13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7"/>
      <c r="L64" s="37"/>
      <c r="M64" s="37"/>
    </row>
    <row r="65" spans="1:13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7"/>
      <c r="L65" s="37"/>
      <c r="M65" s="37"/>
    </row>
    <row r="66" spans="1:13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7"/>
      <c r="L66" s="37"/>
      <c r="M66" s="37"/>
    </row>
    <row r="67" spans="1:13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7"/>
      <c r="L67" s="37"/>
      <c r="M67" s="37"/>
    </row>
    <row r="68" spans="1:13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7"/>
      <c r="L68" s="37"/>
      <c r="M68" s="37"/>
    </row>
    <row r="69" spans="1:13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7"/>
      <c r="L69" s="37"/>
      <c r="M69" s="37"/>
    </row>
    <row r="70" spans="1:13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7"/>
      <c r="L70" s="37"/>
      <c r="M70" s="37"/>
    </row>
    <row r="71" spans="1:13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7"/>
      <c r="L71" s="37"/>
      <c r="M71" s="37"/>
    </row>
    <row r="72" spans="1:13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7"/>
      <c r="L72" s="37"/>
      <c r="M72" s="37"/>
    </row>
    <row r="73" spans="1:13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7"/>
      <c r="L73" s="37"/>
      <c r="M73" s="37"/>
    </row>
    <row r="74" spans="1:13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7"/>
      <c r="L74" s="37"/>
      <c r="M74" s="37"/>
    </row>
    <row r="75" spans="1:13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7"/>
      <c r="L75" s="37"/>
      <c r="M75" s="37"/>
    </row>
    <row r="76" spans="1:13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7"/>
      <c r="L76" s="37"/>
      <c r="M76" s="37"/>
    </row>
    <row r="77" spans="1:13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7"/>
      <c r="L77" s="37"/>
      <c r="M77" s="37"/>
    </row>
    <row r="78" spans="1:13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7"/>
      <c r="L78" s="37"/>
      <c r="M78" s="37"/>
    </row>
    <row r="79" spans="1:13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7"/>
      <c r="L79" s="37"/>
      <c r="M79" s="37"/>
    </row>
    <row r="80" spans="1:13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7"/>
      <c r="L80" s="37"/>
      <c r="M80" s="37"/>
    </row>
    <row r="81" spans="1:13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7"/>
      <c r="L81" s="37"/>
      <c r="M81" s="37"/>
    </row>
    <row r="82" spans="1:13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7"/>
      <c r="L82" s="37"/>
      <c r="M82" s="37"/>
    </row>
    <row r="83" spans="1:13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7"/>
      <c r="L83" s="37"/>
      <c r="M83" s="37"/>
    </row>
    <row r="84" spans="1:13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7"/>
      <c r="L84" s="37"/>
      <c r="M84" s="37"/>
    </row>
    <row r="85" spans="1:13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7"/>
      <c r="L85" s="37"/>
      <c r="M85" s="37"/>
    </row>
    <row r="86" spans="1:13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7"/>
      <c r="L86" s="37"/>
      <c r="M86" s="37"/>
    </row>
    <row r="87" spans="1:13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7"/>
      <c r="L87" s="37"/>
      <c r="M87" s="37"/>
    </row>
    <row r="88" spans="1:13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7"/>
      <c r="L88" s="37"/>
      <c r="M88" s="37"/>
    </row>
    <row r="89" spans="1:13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7"/>
      <c r="L89" s="37"/>
      <c r="M89" s="37"/>
    </row>
    <row r="90" spans="1:13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7"/>
      <c r="L90" s="37"/>
      <c r="M90" s="37"/>
    </row>
    <row r="91" spans="1:13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7"/>
      <c r="L91" s="37"/>
      <c r="M91" s="37"/>
    </row>
    <row r="92" spans="1:13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7"/>
      <c r="L92" s="37"/>
      <c r="M92" s="37"/>
    </row>
    <row r="93" spans="1:13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7"/>
      <c r="L93" s="37"/>
      <c r="M93" s="37"/>
    </row>
    <row r="94" spans="1:13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7"/>
      <c r="L94" s="37"/>
      <c r="M94" s="37"/>
    </row>
    <row r="95" spans="1:13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7"/>
      <c r="L95" s="37"/>
      <c r="M95" s="37"/>
    </row>
    <row r="96" spans="1:13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7"/>
      <c r="L96" s="37"/>
      <c r="M96" s="37"/>
    </row>
    <row r="97" spans="1:13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7"/>
      <c r="L97" s="37"/>
      <c r="M97" s="37"/>
    </row>
    <row r="98" spans="1:13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7"/>
      <c r="L98" s="37"/>
      <c r="M98" s="37"/>
    </row>
    <row r="99" spans="1:13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7"/>
      <c r="L99" s="37"/>
      <c r="M99" s="37"/>
    </row>
    <row r="100" spans="1:13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7"/>
      <c r="L100" s="37"/>
      <c r="M100" s="37"/>
    </row>
    <row r="101" spans="1:13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7"/>
      <c r="L101" s="37"/>
      <c r="M101" s="37"/>
    </row>
    <row r="102" spans="1:13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7"/>
      <c r="L102" s="37"/>
      <c r="M102" s="37"/>
    </row>
    <row r="103" spans="1:13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7"/>
      <c r="L103" s="37"/>
      <c r="M103" s="37"/>
    </row>
    <row r="104" spans="1:13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7"/>
      <c r="L104" s="37"/>
      <c r="M104" s="37"/>
    </row>
    <row r="105" spans="1:13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7"/>
      <c r="L105" s="37"/>
      <c r="M105" s="37"/>
    </row>
    <row r="106" spans="1:13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7"/>
      <c r="L106" s="37"/>
      <c r="M106" s="37"/>
    </row>
    <row r="107" spans="1:13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7"/>
      <c r="L107" s="37"/>
      <c r="M107" s="37"/>
    </row>
    <row r="108" spans="1:13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7"/>
      <c r="L108" s="37"/>
      <c r="M108" s="37"/>
    </row>
    <row r="109" spans="1:13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7"/>
      <c r="L109" s="37"/>
      <c r="M109" s="37"/>
    </row>
    <row r="110" spans="1:13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7"/>
      <c r="L110" s="37"/>
      <c r="M110" s="37"/>
    </row>
    <row r="111" spans="1:13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7"/>
      <c r="L111" s="37"/>
      <c r="M111" s="37"/>
    </row>
    <row r="112" spans="1:13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7"/>
      <c r="L112" s="37"/>
      <c r="M112" s="37"/>
    </row>
    <row r="113" spans="1:13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7"/>
      <c r="L113" s="37"/>
      <c r="M113" s="37"/>
    </row>
    <row r="114" spans="1:13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7"/>
      <c r="L114" s="37"/>
      <c r="M114" s="37"/>
    </row>
    <row r="115" spans="1:13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7"/>
      <c r="L115" s="37"/>
      <c r="M115" s="37"/>
    </row>
    <row r="116" spans="1:13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7"/>
      <c r="L116" s="37"/>
      <c r="M116" s="37"/>
    </row>
    <row r="117" spans="1:13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7"/>
      <c r="L117" s="37"/>
      <c r="M117" s="37"/>
    </row>
    <row r="118" spans="1:13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7"/>
      <c r="L118" s="37"/>
      <c r="M118" s="37"/>
    </row>
    <row r="119" spans="1:13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7"/>
      <c r="L119" s="37"/>
      <c r="M119" s="37"/>
    </row>
    <row r="120" spans="1:13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7"/>
      <c r="L120" s="37"/>
      <c r="M120" s="37"/>
    </row>
    <row r="121" spans="1:13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7"/>
      <c r="L121" s="37"/>
      <c r="M121" s="37"/>
    </row>
    <row r="122" spans="1:13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7"/>
      <c r="L122" s="37"/>
      <c r="M122" s="37"/>
    </row>
    <row r="123" spans="1:13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7"/>
      <c r="L123" s="37"/>
      <c r="M123" s="37"/>
    </row>
    <row r="124" spans="1:13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7"/>
      <c r="L124" s="37"/>
      <c r="M124" s="37"/>
    </row>
    <row r="125" spans="1:13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7"/>
      <c r="L125" s="37"/>
      <c r="M125" s="37"/>
    </row>
    <row r="126" spans="1:13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7"/>
      <c r="L126" s="37"/>
      <c r="M126" s="37"/>
    </row>
    <row r="127" spans="1:13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7"/>
      <c r="L127" s="37"/>
      <c r="M127" s="37"/>
    </row>
    <row r="128" spans="1:13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7"/>
      <c r="L128" s="37"/>
      <c r="M128" s="37"/>
    </row>
    <row r="129" spans="1:13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7"/>
      <c r="L129" s="37"/>
      <c r="M129" s="37"/>
    </row>
    <row r="130" spans="1:13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7"/>
      <c r="L130" s="37"/>
      <c r="M130" s="37"/>
    </row>
    <row r="131" spans="1:13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7"/>
      <c r="L131" s="37"/>
      <c r="M131" s="37"/>
    </row>
    <row r="132" spans="1:13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7"/>
      <c r="L132" s="37"/>
      <c r="M132" s="37"/>
    </row>
    <row r="133" spans="1:13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7"/>
      <c r="L133" s="37"/>
      <c r="M133" s="37"/>
    </row>
    <row r="134" spans="1:13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7"/>
      <c r="L134" s="37"/>
      <c r="M134" s="37"/>
    </row>
    <row r="135" spans="1:13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7"/>
      <c r="L135" s="37"/>
      <c r="M135" s="37"/>
    </row>
    <row r="136" spans="1:13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7"/>
      <c r="L136" s="37"/>
      <c r="M136" s="37"/>
    </row>
    <row r="137" spans="1:13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7"/>
      <c r="L137" s="37"/>
      <c r="M137" s="37"/>
    </row>
    <row r="138" spans="1:13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7"/>
      <c r="L138" s="37"/>
      <c r="M138" s="37"/>
    </row>
    <row r="139" spans="1:13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7"/>
      <c r="L139" s="37"/>
      <c r="M139" s="37"/>
    </row>
    <row r="140" spans="1:13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7"/>
      <c r="L140" s="37"/>
      <c r="M140" s="37"/>
    </row>
    <row r="141" spans="1:13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7"/>
      <c r="L141" s="37"/>
      <c r="M141" s="37"/>
    </row>
    <row r="142" spans="1:13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7"/>
      <c r="L142" s="37"/>
      <c r="M142" s="37"/>
    </row>
    <row r="143" spans="1:13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7"/>
      <c r="L143" s="37"/>
      <c r="M143" s="37"/>
    </row>
    <row r="144" spans="1:13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7"/>
      <c r="L144" s="37"/>
      <c r="M144" s="37"/>
    </row>
    <row r="145" spans="1:13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7"/>
      <c r="L145" s="37"/>
      <c r="M145" s="37"/>
    </row>
    <row r="146" spans="1:13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7"/>
      <c r="L146" s="37"/>
      <c r="M146" s="37"/>
    </row>
    <row r="147" spans="1:13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7"/>
      <c r="L147" s="37"/>
      <c r="M147" s="37"/>
    </row>
    <row r="148" spans="1:13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7"/>
      <c r="L148" s="37"/>
      <c r="M148" s="37"/>
    </row>
    <row r="149" spans="1:13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7"/>
      <c r="L149" s="37"/>
      <c r="M149" s="37"/>
    </row>
    <row r="150" spans="1:13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7"/>
      <c r="L150" s="37"/>
      <c r="M150" s="37"/>
    </row>
    <row r="151" spans="1:13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7"/>
      <c r="L151" s="37"/>
      <c r="M151" s="37"/>
    </row>
    <row r="152" spans="1:13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7"/>
      <c r="L152" s="37"/>
      <c r="M152" s="37"/>
    </row>
    <row r="153" spans="1:13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7"/>
      <c r="L153" s="37"/>
      <c r="M153" s="37"/>
    </row>
    <row r="154" spans="1:13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7"/>
      <c r="L154" s="37"/>
      <c r="M154" s="37"/>
    </row>
    <row r="155" spans="1:13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7"/>
      <c r="L155" s="37"/>
      <c r="M155" s="37"/>
    </row>
    <row r="156" spans="1:13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7"/>
      <c r="L156" s="37"/>
      <c r="M156" s="37"/>
    </row>
    <row r="157" spans="1:13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7"/>
      <c r="L157" s="37"/>
      <c r="M157" s="37"/>
    </row>
    <row r="158" spans="1:13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7"/>
      <c r="L158" s="37"/>
      <c r="M158" s="37"/>
    </row>
    <row r="159" spans="1:13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7"/>
      <c r="L159" s="37"/>
      <c r="M159" s="37"/>
    </row>
    <row r="160" spans="1:13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7"/>
      <c r="L160" s="37"/>
      <c r="M160" s="37"/>
    </row>
    <row r="161" spans="1:13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7"/>
      <c r="L161" s="37"/>
      <c r="M161" s="37"/>
    </row>
    <row r="162" spans="1:13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7"/>
      <c r="L162" s="37"/>
      <c r="M162" s="37"/>
    </row>
    <row r="163" spans="1:13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7"/>
      <c r="L163" s="37"/>
      <c r="M163" s="37"/>
    </row>
    <row r="164" spans="1:13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7"/>
      <c r="L164" s="37"/>
      <c r="M164" s="37"/>
    </row>
    <row r="165" spans="1:13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7"/>
      <c r="L165" s="37"/>
      <c r="M165" s="37"/>
    </row>
    <row r="166" spans="1:13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7"/>
      <c r="L166" s="37"/>
      <c r="M166" s="37"/>
    </row>
    <row r="167" spans="1:13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7"/>
      <c r="L167" s="37"/>
      <c r="M167" s="37"/>
    </row>
    <row r="168" spans="1:13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7"/>
      <c r="L168" s="37"/>
      <c r="M168" s="37"/>
    </row>
    <row r="169" spans="1:13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7"/>
      <c r="L169" s="37"/>
      <c r="M169" s="37"/>
    </row>
    <row r="170" spans="1:13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7"/>
      <c r="L170" s="37"/>
      <c r="M170" s="37"/>
    </row>
    <row r="171" spans="1:13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7"/>
      <c r="L171" s="37"/>
      <c r="M171" s="37"/>
    </row>
    <row r="172" spans="1:13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7"/>
      <c r="L172" s="37"/>
      <c r="M172" s="37"/>
    </row>
    <row r="173" spans="1:13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7"/>
      <c r="L173" s="37"/>
      <c r="M173" s="37"/>
    </row>
    <row r="174" spans="1:13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7"/>
      <c r="L174" s="37"/>
      <c r="M174" s="37"/>
    </row>
    <row r="175" spans="1:13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7"/>
      <c r="L175" s="37"/>
      <c r="M175" s="37"/>
    </row>
    <row r="176" spans="1:13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7"/>
      <c r="L176" s="37"/>
      <c r="M176" s="37"/>
    </row>
    <row r="177" spans="1:13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7"/>
      <c r="L177" s="37"/>
      <c r="M177" s="37"/>
    </row>
    <row r="178" spans="1:13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7"/>
      <c r="L178" s="37"/>
      <c r="M178" s="37"/>
    </row>
    <row r="179" spans="1:13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7"/>
      <c r="L179" s="37"/>
      <c r="M179" s="37"/>
    </row>
    <row r="180" spans="1:13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7"/>
      <c r="L180" s="37"/>
      <c r="M180" s="37"/>
    </row>
    <row r="181" spans="1:13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7"/>
      <c r="L181" s="37"/>
      <c r="M181" s="37"/>
    </row>
    <row r="182" spans="1:13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7"/>
      <c r="L182" s="37"/>
      <c r="M182" s="37"/>
    </row>
    <row r="183" spans="1:13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7"/>
      <c r="L183" s="37"/>
      <c r="M183" s="37"/>
    </row>
    <row r="184" spans="1:13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7"/>
      <c r="L184" s="37"/>
      <c r="M184" s="37"/>
    </row>
    <row r="185" spans="1:13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7"/>
      <c r="L185" s="37"/>
      <c r="M185" s="37"/>
    </row>
    <row r="186" spans="1:13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7"/>
      <c r="L186" s="37"/>
      <c r="M186" s="37"/>
    </row>
    <row r="187" spans="1:13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7"/>
      <c r="L187" s="37"/>
      <c r="M187" s="37"/>
    </row>
    <row r="188" spans="1:13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7"/>
      <c r="L188" s="37"/>
      <c r="M188" s="37"/>
    </row>
    <row r="189" spans="1:13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7"/>
      <c r="L189" s="37"/>
      <c r="M189" s="37"/>
    </row>
    <row r="190" spans="1:13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7"/>
      <c r="L190" s="37"/>
      <c r="M190" s="37"/>
    </row>
    <row r="191" spans="1:13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7"/>
      <c r="L191" s="37"/>
      <c r="M191" s="37"/>
    </row>
    <row r="192" spans="1:13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7"/>
      <c r="L192" s="37"/>
      <c r="M192" s="37"/>
    </row>
    <row r="193" spans="1:13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7"/>
      <c r="L193" s="37"/>
      <c r="M193" s="37"/>
    </row>
    <row r="194" spans="1:13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7"/>
      <c r="L194" s="37"/>
      <c r="M194" s="37"/>
    </row>
    <row r="195" spans="1:13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7"/>
      <c r="L195" s="37"/>
      <c r="M195" s="37"/>
    </row>
    <row r="196" spans="1:13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7"/>
      <c r="L196" s="37"/>
      <c r="M196" s="37"/>
    </row>
    <row r="197" spans="1:13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7"/>
      <c r="L197" s="37"/>
      <c r="M197" s="37"/>
    </row>
    <row r="198" spans="1:13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7"/>
      <c r="L198" s="37"/>
      <c r="M198" s="37"/>
    </row>
    <row r="199" spans="1:13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7"/>
      <c r="L199" s="37"/>
      <c r="M199" s="37"/>
    </row>
    <row r="200" spans="1:13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7"/>
      <c r="L200" s="37"/>
      <c r="M200" s="37"/>
    </row>
    <row r="201" spans="1:13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7"/>
      <c r="L201" s="37"/>
      <c r="M201" s="37"/>
    </row>
    <row r="202" spans="1:13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7"/>
      <c r="L202" s="37"/>
      <c r="M202" s="37"/>
    </row>
    <row r="203" spans="1:13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7"/>
      <c r="L203" s="37"/>
      <c r="M203" s="37"/>
    </row>
    <row r="204" spans="1:13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7"/>
      <c r="L204" s="37"/>
      <c r="M204" s="37"/>
    </row>
    <row r="205" spans="1:13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7"/>
      <c r="L205" s="37"/>
      <c r="M205" s="37"/>
    </row>
    <row r="206" spans="1:13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7"/>
      <c r="L206" s="37"/>
      <c r="M206" s="37"/>
    </row>
    <row r="207" spans="1:13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7"/>
      <c r="L207" s="37"/>
      <c r="M207" s="37"/>
    </row>
    <row r="208" spans="1:13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7"/>
      <c r="L208" s="37"/>
      <c r="M208" s="37"/>
    </row>
    <row r="209" spans="1:13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7"/>
      <c r="L209" s="37"/>
      <c r="M209" s="37"/>
    </row>
    <row r="210" spans="1:13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7"/>
      <c r="L210" s="37"/>
      <c r="M210" s="37"/>
    </row>
    <row r="211" spans="1:13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7"/>
      <c r="L211" s="37"/>
      <c r="M211" s="37"/>
    </row>
    <row r="212" spans="1:13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7"/>
      <c r="L212" s="37"/>
      <c r="M212" s="37"/>
    </row>
    <row r="213" spans="1:13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7"/>
      <c r="L213" s="37"/>
      <c r="M213" s="37"/>
    </row>
    <row r="214" spans="1:13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7"/>
      <c r="L214" s="37"/>
      <c r="M214" s="37"/>
    </row>
    <row r="215" spans="1:13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7"/>
      <c r="L215" s="37"/>
      <c r="M215" s="37"/>
    </row>
    <row r="216" spans="1:13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7"/>
      <c r="L216" s="37"/>
      <c r="M216" s="37"/>
    </row>
    <row r="217" spans="1:13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7"/>
      <c r="L217" s="37"/>
      <c r="M217" s="37"/>
    </row>
    <row r="218" spans="1:13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7"/>
      <c r="L218" s="37"/>
      <c r="M218" s="37"/>
    </row>
    <row r="219" spans="1:13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7"/>
      <c r="L219" s="37"/>
      <c r="M219" s="37"/>
    </row>
    <row r="220" spans="1:13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7"/>
      <c r="L220" s="37"/>
      <c r="M220" s="37"/>
    </row>
    <row r="221" spans="1:13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7"/>
      <c r="L221" s="37"/>
      <c r="M221" s="37"/>
    </row>
    <row r="222" spans="1:13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7"/>
      <c r="L222" s="37"/>
      <c r="M222" s="37"/>
    </row>
    <row r="223" spans="1:13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7"/>
      <c r="L223" s="37"/>
      <c r="M223" s="37"/>
    </row>
    <row r="224" spans="1:13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7"/>
      <c r="L224" s="37"/>
      <c r="M224" s="37"/>
    </row>
    <row r="225" spans="1:13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7"/>
      <c r="L225" s="37"/>
      <c r="M225" s="37"/>
    </row>
    <row r="226" spans="1:13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7"/>
      <c r="L226" s="37"/>
      <c r="M226" s="37"/>
    </row>
    <row r="227" spans="1:13" x14ac:dyDescent="0.25">
      <c r="A227" s="3"/>
      <c r="B227" s="3"/>
      <c r="C227" s="3"/>
      <c r="D227" s="3"/>
      <c r="E227" s="21"/>
      <c r="F227" s="3"/>
      <c r="G227" s="3"/>
      <c r="H227" s="3"/>
      <c r="I227" s="3"/>
      <c r="J227" s="3"/>
    </row>
    <row r="228" spans="1:13" x14ac:dyDescent="0.25">
      <c r="A228" s="3"/>
      <c r="B228" s="3"/>
      <c r="C228" s="3"/>
      <c r="D228" s="3"/>
      <c r="E228" s="21"/>
      <c r="F228" s="3"/>
      <c r="G228" s="3"/>
      <c r="H228" s="3"/>
      <c r="I228" s="3"/>
      <c r="J228" s="3"/>
    </row>
    <row r="229" spans="1:13" x14ac:dyDescent="0.25">
      <c r="A229" s="3"/>
      <c r="B229" s="3"/>
      <c r="C229" s="3"/>
      <c r="D229" s="3"/>
      <c r="E229" s="21"/>
      <c r="F229" s="3"/>
      <c r="G229" s="3"/>
      <c r="H229" s="3"/>
      <c r="I229" s="3"/>
      <c r="J229" s="3"/>
    </row>
    <row r="230" spans="1:13" x14ac:dyDescent="0.25">
      <c r="A230" s="3"/>
      <c r="B230" s="3"/>
      <c r="C230" s="3"/>
      <c r="D230" s="3"/>
      <c r="E230" s="21"/>
      <c r="F230" s="3"/>
      <c r="G230" s="3"/>
      <c r="H230" s="3"/>
      <c r="I230" s="3"/>
      <c r="J230" s="3"/>
    </row>
    <row r="231" spans="1:13" x14ac:dyDescent="0.25">
      <c r="A231" s="3"/>
      <c r="B231" s="3"/>
      <c r="C231" s="3"/>
      <c r="D231" s="3"/>
      <c r="E231" s="21"/>
      <c r="F231" s="3"/>
      <c r="G231" s="3"/>
      <c r="H231" s="3"/>
      <c r="I231" s="3"/>
      <c r="J231" s="3"/>
    </row>
    <row r="232" spans="1:13" x14ac:dyDescent="0.25">
      <c r="A232" s="3"/>
      <c r="B232" s="3"/>
      <c r="C232" s="3"/>
      <c r="D232" s="3"/>
      <c r="E232" s="21"/>
      <c r="F232" s="3"/>
      <c r="G232" s="3"/>
      <c r="H232" s="3"/>
      <c r="I232" s="3"/>
      <c r="J232" s="3"/>
    </row>
    <row r="233" spans="1:13" x14ac:dyDescent="0.25">
      <c r="A233" s="3"/>
      <c r="B233" s="3"/>
      <c r="C233" s="3"/>
      <c r="D233" s="3"/>
      <c r="E233" s="21"/>
      <c r="F233" s="3"/>
      <c r="G233" s="3"/>
      <c r="H233" s="3"/>
      <c r="I233" s="3"/>
      <c r="J233" s="3"/>
    </row>
    <row r="234" spans="1:13" x14ac:dyDescent="0.25">
      <c r="A234" s="3"/>
      <c r="B234" s="3"/>
      <c r="C234" s="3"/>
      <c r="D234" s="3"/>
      <c r="E234" s="21"/>
      <c r="F234" s="3"/>
      <c r="G234" s="3"/>
      <c r="H234" s="3"/>
      <c r="I234" s="3"/>
      <c r="J234" s="3"/>
    </row>
    <row r="235" spans="1:13" x14ac:dyDescent="0.25">
      <c r="A235" s="3"/>
      <c r="B235" s="3"/>
      <c r="C235" s="3"/>
      <c r="D235" s="3"/>
      <c r="E235" s="21"/>
      <c r="F235" s="3"/>
      <c r="G235" s="3"/>
      <c r="H235" s="3"/>
      <c r="I235" s="3"/>
      <c r="J235" s="3"/>
    </row>
    <row r="236" spans="1:13" x14ac:dyDescent="0.25">
      <c r="A236" s="3"/>
      <c r="B236" s="3"/>
      <c r="C236" s="3"/>
      <c r="D236" s="3"/>
      <c r="E236" s="21"/>
      <c r="F236" s="3"/>
      <c r="G236" s="3"/>
      <c r="H236" s="3"/>
      <c r="I236" s="3"/>
      <c r="J236" s="3"/>
    </row>
    <row r="237" spans="1:13" x14ac:dyDescent="0.25">
      <c r="A237" s="3"/>
      <c r="B237" s="3"/>
      <c r="C237" s="3"/>
      <c r="D237" s="3"/>
      <c r="E237" s="21"/>
      <c r="F237" s="3"/>
      <c r="G237" s="3"/>
      <c r="H237" s="3"/>
      <c r="I237" s="3"/>
      <c r="J237" s="3"/>
    </row>
    <row r="238" spans="1:13" x14ac:dyDescent="0.25">
      <c r="A238" s="3"/>
      <c r="B238" s="3"/>
      <c r="C238" s="3"/>
      <c r="D238" s="3"/>
      <c r="E238" s="21"/>
      <c r="F238" s="3"/>
      <c r="G238" s="3"/>
      <c r="H238" s="3"/>
      <c r="I238" s="3"/>
      <c r="J238" s="3"/>
    </row>
    <row r="239" spans="1:13" x14ac:dyDescent="0.25">
      <c r="A239" s="3"/>
      <c r="B239" s="3"/>
      <c r="C239" s="3"/>
      <c r="D239" s="3"/>
      <c r="E239" s="21"/>
      <c r="F239" s="3"/>
      <c r="G239" s="3"/>
      <c r="H239" s="3"/>
      <c r="I239" s="3"/>
      <c r="J239" s="3"/>
    </row>
    <row r="240" spans="1:13" x14ac:dyDescent="0.25">
      <c r="A240" s="3"/>
      <c r="B240" s="3"/>
      <c r="C240" s="3"/>
      <c r="D240" s="3"/>
      <c r="E240" s="21"/>
      <c r="F240" s="3"/>
      <c r="G240" s="3"/>
      <c r="H240" s="3"/>
      <c r="I240" s="3"/>
      <c r="J240" s="3"/>
    </row>
    <row r="241" spans="1:10" x14ac:dyDescent="0.25">
      <c r="A241" s="3"/>
      <c r="B241" s="3"/>
      <c r="C241" s="3"/>
      <c r="D241" s="3"/>
      <c r="E241" s="21"/>
      <c r="F241" s="3"/>
      <c r="G241" s="3"/>
      <c r="H241" s="3"/>
      <c r="I241" s="3"/>
      <c r="J241" s="3"/>
    </row>
    <row r="242" spans="1:10" x14ac:dyDescent="0.25">
      <c r="A242" s="3"/>
      <c r="B242" s="3"/>
      <c r="C242" s="3"/>
      <c r="D242" s="3"/>
      <c r="E242" s="21"/>
      <c r="F242" s="3"/>
      <c r="G242" s="3"/>
      <c r="H242" s="3"/>
      <c r="I242" s="3"/>
      <c r="J242" s="3"/>
    </row>
    <row r="243" spans="1:10" x14ac:dyDescent="0.25">
      <c r="A243" s="3"/>
      <c r="B243" s="3"/>
      <c r="C243" s="3"/>
      <c r="D243" s="3"/>
      <c r="E243" s="21"/>
      <c r="F243" s="3"/>
      <c r="G243" s="3"/>
      <c r="H243" s="3"/>
      <c r="I243" s="3"/>
      <c r="J243" s="3"/>
    </row>
    <row r="244" spans="1:10" x14ac:dyDescent="0.25">
      <c r="A244" s="3"/>
      <c r="B244" s="3"/>
      <c r="C244" s="3"/>
      <c r="D244" s="3"/>
      <c r="E244" s="21"/>
      <c r="F244" s="3"/>
      <c r="G244" s="3"/>
      <c r="H244" s="3"/>
      <c r="I244" s="3"/>
      <c r="J244" s="3"/>
    </row>
    <row r="245" spans="1:10" x14ac:dyDescent="0.25">
      <c r="A245" s="3"/>
      <c r="B245" s="3"/>
      <c r="C245" s="3"/>
      <c r="D245" s="3"/>
      <c r="E245" s="21"/>
      <c r="F245" s="3"/>
      <c r="G245" s="3"/>
      <c r="H245" s="3"/>
      <c r="I245" s="3"/>
      <c r="J245" s="3"/>
    </row>
    <row r="246" spans="1:10" x14ac:dyDescent="0.25">
      <c r="A246" s="3"/>
      <c r="B246" s="3"/>
      <c r="C246" s="3"/>
      <c r="D246" s="3"/>
      <c r="E246" s="21"/>
      <c r="F246" s="3"/>
      <c r="G246" s="3"/>
      <c r="H246" s="3"/>
      <c r="I246" s="3"/>
      <c r="J246" s="3"/>
    </row>
    <row r="247" spans="1:10" x14ac:dyDescent="0.25">
      <c r="A247" s="3"/>
      <c r="B247" s="3"/>
      <c r="C247" s="3"/>
      <c r="D247" s="3"/>
      <c r="E247" s="21"/>
      <c r="F247" s="3"/>
      <c r="G247" s="3"/>
      <c r="H247" s="3"/>
      <c r="I247" s="3"/>
      <c r="J247" s="3"/>
    </row>
    <row r="248" spans="1:10" x14ac:dyDescent="0.25">
      <c r="A248" s="3"/>
      <c r="B248" s="3"/>
      <c r="C248" s="3"/>
      <c r="D248" s="3"/>
      <c r="E248" s="21"/>
      <c r="F248" s="3"/>
      <c r="G248" s="3"/>
      <c r="H248" s="3"/>
      <c r="I248" s="3"/>
      <c r="J248" s="3"/>
    </row>
    <row r="249" spans="1:10" x14ac:dyDescent="0.25">
      <c r="A249" s="3"/>
      <c r="B249" s="3"/>
      <c r="C249" s="3"/>
      <c r="D249" s="3"/>
      <c r="E249" s="21"/>
      <c r="F249" s="3"/>
      <c r="G249" s="3"/>
      <c r="H249" s="3"/>
      <c r="I249" s="3"/>
      <c r="J249" s="3"/>
    </row>
    <row r="250" spans="1:10" x14ac:dyDescent="0.25">
      <c r="A250" s="3"/>
      <c r="B250" s="3"/>
      <c r="C250" s="3"/>
      <c r="D250" s="3"/>
      <c r="E250" s="21"/>
      <c r="F250" s="3"/>
      <c r="G250" s="3"/>
      <c r="H250" s="3"/>
      <c r="I250" s="3"/>
      <c r="J250" s="3"/>
    </row>
    <row r="251" spans="1:10" x14ac:dyDescent="0.25">
      <c r="A251" s="3"/>
      <c r="B251" s="3"/>
      <c r="C251" s="3"/>
      <c r="D251" s="3"/>
      <c r="E251" s="21"/>
      <c r="F251" s="3"/>
      <c r="G251" s="3"/>
      <c r="H251" s="3"/>
      <c r="I251" s="3"/>
      <c r="J251" s="3"/>
    </row>
    <row r="252" spans="1:10" x14ac:dyDescent="0.25">
      <c r="A252" s="3"/>
      <c r="B252" s="3"/>
      <c r="C252" s="3"/>
      <c r="D252" s="3"/>
      <c r="E252" s="21"/>
      <c r="F252" s="3"/>
      <c r="G252" s="3"/>
      <c r="H252" s="3"/>
      <c r="I252" s="3"/>
      <c r="J252" s="3"/>
    </row>
    <row r="253" spans="1:10" x14ac:dyDescent="0.25">
      <c r="A253" s="3"/>
      <c r="B253" s="3"/>
      <c r="C253" s="3"/>
      <c r="D253" s="3"/>
      <c r="E253" s="21"/>
      <c r="F253" s="3"/>
      <c r="G253" s="3"/>
      <c r="H253" s="3"/>
      <c r="I253" s="3"/>
      <c r="J253" s="3"/>
    </row>
    <row r="254" spans="1:10" x14ac:dyDescent="0.25">
      <c r="A254" s="3"/>
      <c r="B254" s="3"/>
      <c r="C254" s="3"/>
      <c r="D254" s="3"/>
      <c r="E254" s="21"/>
      <c r="F254" s="3"/>
      <c r="G254" s="3"/>
      <c r="H254" s="3"/>
      <c r="I254" s="3"/>
      <c r="J254" s="3"/>
    </row>
    <row r="255" spans="1:10" x14ac:dyDescent="0.25">
      <c r="A255" s="3"/>
      <c r="B255" s="3"/>
      <c r="C255" s="3"/>
      <c r="D255" s="3"/>
      <c r="E255" s="21"/>
      <c r="F255" s="3"/>
      <c r="G255" s="3"/>
      <c r="H255" s="3"/>
      <c r="I255" s="3"/>
      <c r="J255" s="3"/>
    </row>
    <row r="256" spans="1:10" x14ac:dyDescent="0.25">
      <c r="A256" s="3"/>
      <c r="B256" s="3"/>
      <c r="C256" s="3"/>
      <c r="D256" s="3"/>
      <c r="E256" s="21"/>
      <c r="F256" s="3"/>
      <c r="G256" s="3"/>
      <c r="H256" s="3"/>
      <c r="I256" s="3"/>
      <c r="J256" s="3"/>
    </row>
    <row r="257" spans="1:10" x14ac:dyDescent="0.25">
      <c r="A257" s="3"/>
      <c r="B257" s="3"/>
      <c r="C257" s="3"/>
      <c r="D257" s="3"/>
      <c r="E257" s="21"/>
      <c r="F257" s="3"/>
      <c r="G257" s="3"/>
      <c r="H257" s="3"/>
      <c r="I257" s="3"/>
      <c r="J257" s="3"/>
    </row>
    <row r="258" spans="1:10" x14ac:dyDescent="0.25">
      <c r="A258" s="3"/>
      <c r="B258" s="3"/>
      <c r="C258" s="3"/>
      <c r="D258" s="3"/>
      <c r="E258" s="21"/>
      <c r="F258" s="3"/>
      <c r="G258" s="3"/>
      <c r="H258" s="3"/>
      <c r="I258" s="3"/>
      <c r="J258" s="3"/>
    </row>
    <row r="259" spans="1:10" x14ac:dyDescent="0.25">
      <c r="A259" s="3"/>
      <c r="B259" s="3"/>
      <c r="C259" s="3"/>
      <c r="D259" s="3"/>
      <c r="E259" s="21"/>
      <c r="F259" s="3"/>
      <c r="G259" s="3"/>
      <c r="H259" s="3"/>
      <c r="I259" s="3"/>
      <c r="J259" s="3"/>
    </row>
    <row r="260" spans="1:10" x14ac:dyDescent="0.25">
      <c r="A260" s="3"/>
      <c r="B260" s="3"/>
      <c r="C260" s="3"/>
      <c r="D260" s="3"/>
      <c r="E260" s="21"/>
      <c r="F260" s="3"/>
      <c r="G260" s="3"/>
      <c r="H260" s="3"/>
      <c r="I260" s="3"/>
      <c r="J260" s="3"/>
    </row>
    <row r="261" spans="1:10" x14ac:dyDescent="0.25">
      <c r="A261" s="3"/>
      <c r="B261" s="3"/>
      <c r="C261" s="3"/>
      <c r="D261" s="3"/>
      <c r="E261" s="21"/>
      <c r="F261" s="3"/>
      <c r="G261" s="3"/>
      <c r="H261" s="3"/>
      <c r="I261" s="3"/>
      <c r="J261" s="3"/>
    </row>
    <row r="262" spans="1:10" x14ac:dyDescent="0.25">
      <c r="A262" s="3"/>
      <c r="B262" s="3"/>
      <c r="C262" s="3"/>
      <c r="D262" s="3"/>
      <c r="E262" s="21"/>
      <c r="F262" s="3"/>
      <c r="G262" s="3"/>
      <c r="H262" s="3"/>
      <c r="I262" s="3"/>
      <c r="J262" s="3"/>
    </row>
    <row r="263" spans="1:10" x14ac:dyDescent="0.25">
      <c r="A263" s="3"/>
      <c r="B263" s="3"/>
      <c r="C263" s="3"/>
      <c r="D263" s="3"/>
      <c r="E263" s="21"/>
      <c r="F263" s="3"/>
      <c r="G263" s="3"/>
      <c r="H263" s="3"/>
      <c r="I263" s="3"/>
      <c r="J263" s="3"/>
    </row>
    <row r="264" spans="1:10" x14ac:dyDescent="0.25">
      <c r="A264" s="3"/>
      <c r="B264" s="3"/>
      <c r="C264" s="3"/>
      <c r="D264" s="3"/>
      <c r="E264" s="21"/>
      <c r="F264" s="3"/>
      <c r="G264" s="3"/>
      <c r="H264" s="3"/>
      <c r="I264" s="3"/>
      <c r="J264" s="3"/>
    </row>
    <row r="265" spans="1:10" x14ac:dyDescent="0.25">
      <c r="A265" s="3"/>
      <c r="B265" s="3"/>
      <c r="C265" s="3"/>
      <c r="D265" s="3"/>
      <c r="E265" s="21"/>
      <c r="F265" s="3"/>
      <c r="G265" s="3"/>
      <c r="H265" s="3"/>
      <c r="I265" s="3"/>
      <c r="J265" s="3"/>
    </row>
    <row r="266" spans="1:10" x14ac:dyDescent="0.25">
      <c r="A266" s="3"/>
      <c r="B266" s="3"/>
      <c r="C266" s="3"/>
      <c r="D266" s="3"/>
      <c r="E266" s="21"/>
      <c r="F266" s="3"/>
      <c r="G266" s="3"/>
      <c r="H266" s="3"/>
      <c r="I266" s="3"/>
      <c r="J266" s="3"/>
    </row>
    <row r="267" spans="1:10" x14ac:dyDescent="0.25">
      <c r="A267" s="3"/>
      <c r="B267" s="3"/>
      <c r="C267" s="3"/>
      <c r="D267" s="3"/>
      <c r="E267" s="21"/>
      <c r="F267" s="3"/>
      <c r="G267" s="3"/>
      <c r="H267" s="3"/>
      <c r="I267" s="3"/>
      <c r="J267" s="3"/>
    </row>
    <row r="268" spans="1:10" x14ac:dyDescent="0.25">
      <c r="A268" s="3"/>
      <c r="B268" s="3"/>
      <c r="C268" s="3"/>
      <c r="D268" s="3"/>
      <c r="E268" s="21"/>
      <c r="F268" s="3"/>
      <c r="G268" s="3"/>
      <c r="H268" s="3"/>
      <c r="I268" s="3"/>
      <c r="J268" s="3"/>
    </row>
    <row r="269" spans="1:10" x14ac:dyDescent="0.25">
      <c r="A269" s="3"/>
      <c r="B269" s="3"/>
      <c r="C269" s="3"/>
      <c r="D269" s="3"/>
      <c r="E269" s="21"/>
      <c r="F269" s="3"/>
      <c r="G269" s="3"/>
      <c r="H269" s="3"/>
      <c r="I269" s="3"/>
      <c r="J269" s="3"/>
    </row>
    <row r="270" spans="1:10" x14ac:dyDescent="0.25">
      <c r="A270" s="3"/>
      <c r="B270" s="3"/>
      <c r="C270" s="3"/>
      <c r="D270" s="3"/>
      <c r="E270" s="21"/>
      <c r="F270" s="3"/>
      <c r="G270" s="3"/>
      <c r="H270" s="3"/>
      <c r="I270" s="3"/>
      <c r="J270" s="3"/>
    </row>
    <row r="271" spans="1:10" x14ac:dyDescent="0.25">
      <c r="A271" s="3"/>
      <c r="B271" s="3"/>
      <c r="C271" s="3"/>
      <c r="D271" s="3"/>
      <c r="E271" s="21"/>
      <c r="F271" s="3"/>
      <c r="G271" s="3"/>
      <c r="H271" s="3"/>
      <c r="I271" s="3"/>
      <c r="J271" s="3"/>
    </row>
    <row r="272" spans="1:10" x14ac:dyDescent="0.25">
      <c r="A272" s="3"/>
      <c r="B272" s="3"/>
      <c r="C272" s="3"/>
      <c r="D272" s="3"/>
      <c r="E272" s="21"/>
      <c r="F272" s="3"/>
      <c r="G272" s="3"/>
      <c r="H272" s="3"/>
      <c r="I272" s="3"/>
      <c r="J272" s="3"/>
    </row>
    <row r="273" spans="1:10" x14ac:dyDescent="0.25">
      <c r="A273" s="3"/>
      <c r="B273" s="3"/>
      <c r="C273" s="3"/>
      <c r="D273" s="3"/>
      <c r="E273" s="21"/>
      <c r="F273" s="3"/>
      <c r="G273" s="3"/>
      <c r="H273" s="3"/>
      <c r="I273" s="3"/>
      <c r="J273" s="3"/>
    </row>
    <row r="274" spans="1:10" x14ac:dyDescent="0.25">
      <c r="A274" s="3"/>
      <c r="B274" s="3"/>
      <c r="C274" s="3"/>
      <c r="D274" s="3"/>
      <c r="E274" s="21"/>
      <c r="F274" s="3"/>
      <c r="G274" s="3"/>
      <c r="H274" s="3"/>
      <c r="I274" s="3"/>
      <c r="J274" s="3"/>
    </row>
    <row r="275" spans="1:10" x14ac:dyDescent="0.25">
      <c r="A275" s="3"/>
      <c r="B275" s="3"/>
      <c r="C275" s="3"/>
      <c r="D275" s="3"/>
      <c r="E275" s="21"/>
      <c r="F275" s="3"/>
      <c r="G275" s="3"/>
      <c r="H275" s="3"/>
      <c r="I275" s="3"/>
      <c r="J275" s="3"/>
    </row>
    <row r="276" spans="1:10" x14ac:dyDescent="0.25">
      <c r="A276" s="3"/>
      <c r="B276" s="3"/>
      <c r="C276" s="3"/>
      <c r="D276" s="3"/>
      <c r="E276" s="21"/>
      <c r="F276" s="3"/>
      <c r="G276" s="3"/>
      <c r="H276" s="3"/>
      <c r="I276" s="3"/>
      <c r="J276" s="3"/>
    </row>
    <row r="277" spans="1:10" x14ac:dyDescent="0.25">
      <c r="A277" s="3"/>
      <c r="B277" s="3"/>
      <c r="C277" s="3"/>
      <c r="D277" s="3"/>
      <c r="E277" s="21"/>
      <c r="F277" s="3"/>
      <c r="G277" s="3"/>
      <c r="H277" s="3"/>
      <c r="I277" s="3"/>
      <c r="J277" s="3"/>
    </row>
    <row r="278" spans="1:10" x14ac:dyDescent="0.25">
      <c r="A278" s="3"/>
      <c r="B278" s="3"/>
      <c r="C278" s="3"/>
      <c r="D278" s="3"/>
      <c r="E278" s="21"/>
      <c r="F278" s="3"/>
      <c r="G278" s="3"/>
      <c r="H278" s="3"/>
      <c r="I278" s="3"/>
      <c r="J278" s="3"/>
    </row>
    <row r="279" spans="1:10" x14ac:dyDescent="0.25">
      <c r="A279" s="3"/>
      <c r="B279" s="3"/>
      <c r="C279" s="3"/>
      <c r="D279" s="3"/>
      <c r="E279" s="21"/>
      <c r="F279" s="3"/>
      <c r="G279" s="3"/>
      <c r="H279" s="3"/>
      <c r="I279" s="3"/>
      <c r="J279" s="3"/>
    </row>
    <row r="280" spans="1:10" x14ac:dyDescent="0.25">
      <c r="A280" s="3"/>
      <c r="B280" s="3"/>
      <c r="C280" s="3"/>
      <c r="D280" s="3"/>
      <c r="E280" s="21"/>
      <c r="F280" s="3"/>
      <c r="G280" s="3"/>
      <c r="H280" s="3"/>
      <c r="I280" s="3"/>
      <c r="J280" s="3"/>
    </row>
    <row r="281" spans="1:10" x14ac:dyDescent="0.25">
      <c r="A281" s="3"/>
      <c r="B281" s="3"/>
      <c r="C281" s="3"/>
      <c r="D281" s="3"/>
      <c r="E281" s="21"/>
      <c r="F281" s="3"/>
      <c r="G281" s="3"/>
      <c r="H281" s="3"/>
      <c r="I281" s="3"/>
      <c r="J281" s="3"/>
    </row>
    <row r="282" spans="1:10" x14ac:dyDescent="0.25">
      <c r="A282" s="3"/>
      <c r="B282" s="3"/>
      <c r="C282" s="3"/>
      <c r="D282" s="3"/>
      <c r="E282" s="21"/>
      <c r="F282" s="3"/>
      <c r="G282" s="3"/>
      <c r="H282" s="3"/>
      <c r="I282" s="3"/>
      <c r="J282" s="3"/>
    </row>
    <row r="283" spans="1:10" x14ac:dyDescent="0.25">
      <c r="A283" s="3"/>
      <c r="B283" s="3"/>
      <c r="C283" s="3"/>
      <c r="D283" s="3"/>
      <c r="E283" s="21"/>
      <c r="F283" s="3"/>
      <c r="G283" s="3"/>
      <c r="H283" s="3"/>
      <c r="I283" s="3"/>
      <c r="J283" s="3"/>
    </row>
    <row r="284" spans="1:10" x14ac:dyDescent="0.25">
      <c r="A284" s="3"/>
      <c r="B284" s="3"/>
      <c r="C284" s="3"/>
      <c r="D284" s="3"/>
      <c r="E284" s="21"/>
      <c r="F284" s="3"/>
      <c r="G284" s="3"/>
      <c r="H284" s="3"/>
      <c r="I284" s="3"/>
      <c r="J284" s="3"/>
    </row>
    <row r="285" spans="1:10" x14ac:dyDescent="0.25">
      <c r="A285" s="3"/>
      <c r="B285" s="3"/>
      <c r="C285" s="3"/>
      <c r="D285" s="3"/>
      <c r="E285" s="21"/>
      <c r="F285" s="3"/>
      <c r="G285" s="3"/>
      <c r="H285" s="3"/>
      <c r="I285" s="3"/>
      <c r="J285" s="3"/>
    </row>
    <row r="286" spans="1:10" x14ac:dyDescent="0.25">
      <c r="A286" s="3"/>
      <c r="B286" s="3"/>
      <c r="C286" s="3"/>
      <c r="D286" s="3"/>
      <c r="E286" s="21"/>
      <c r="F286" s="3"/>
      <c r="G286" s="3"/>
      <c r="H286" s="3"/>
      <c r="I286" s="3"/>
      <c r="J286" s="3"/>
    </row>
    <row r="287" spans="1:10" x14ac:dyDescent="0.25">
      <c r="A287" s="3"/>
      <c r="B287" s="3"/>
      <c r="C287" s="3"/>
      <c r="D287" s="3"/>
      <c r="E287" s="21"/>
      <c r="F287" s="3"/>
      <c r="G287" s="3"/>
      <c r="H287" s="3"/>
      <c r="I287" s="3"/>
      <c r="J287" s="3"/>
    </row>
    <row r="288" spans="1:10" x14ac:dyDescent="0.25">
      <c r="A288" s="3"/>
      <c r="B288" s="3"/>
      <c r="C288" s="3"/>
      <c r="D288" s="3"/>
      <c r="E288" s="21"/>
      <c r="F288" s="3"/>
      <c r="G288" s="3"/>
      <c r="H288" s="3"/>
      <c r="I288" s="3"/>
      <c r="J288" s="3"/>
    </row>
    <row r="289" spans="1:10" x14ac:dyDescent="0.25">
      <c r="A289" s="3"/>
      <c r="B289" s="3"/>
      <c r="C289" s="3"/>
      <c r="D289" s="3"/>
      <c r="E289" s="21"/>
      <c r="F289" s="3"/>
      <c r="G289" s="3"/>
      <c r="H289" s="3"/>
      <c r="I289" s="3"/>
      <c r="J289" s="3"/>
    </row>
    <row r="290" spans="1:10" x14ac:dyDescent="0.25">
      <c r="A290" s="3"/>
      <c r="B290" s="3"/>
      <c r="C290" s="3"/>
      <c r="D290" s="3"/>
      <c r="E290" s="21"/>
      <c r="F290" s="3"/>
      <c r="G290" s="3"/>
      <c r="H290" s="3"/>
      <c r="I290" s="3"/>
      <c r="J290" s="3"/>
    </row>
  </sheetData>
  <autoFilter ref="A1:H285" xr:uid="{8B641957-5BA6-444D-98B4-C2E1B59943AC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1515D-5120-4D75-9EC8-BB50B9943E87}">
  <dimension ref="A1:S78"/>
  <sheetViews>
    <sheetView showGridLines="0" tabSelected="1" zoomScale="85" zoomScaleNormal="85" zoomScaleSheetLayoutView="106" workbookViewId="0">
      <pane xSplit="2" ySplit="2" topLeftCell="C3" activePane="bottomRight" state="frozen"/>
      <selection activeCell="D109" sqref="D109"/>
      <selection pane="topRight" activeCell="D109" sqref="D109"/>
      <selection pane="bottomLeft" activeCell="D109" sqref="D109"/>
      <selection pane="bottomRight" activeCell="C34" sqref="C34"/>
    </sheetView>
  </sheetViews>
  <sheetFormatPr baseColWidth="10" defaultColWidth="11.42578125" defaultRowHeight="12.6" customHeight="1" outlineLevelCol="1" x14ac:dyDescent="0.25"/>
  <cols>
    <col min="1" max="1" width="2" bestFit="1" customWidth="1"/>
    <col min="2" max="2" width="23.140625" customWidth="1" outlineLevel="1"/>
    <col min="3" max="3" width="34.7109375" customWidth="1" outlineLevel="1"/>
    <col min="4" max="4" width="35.28515625" customWidth="1"/>
    <col min="5" max="5" width="27.85546875" customWidth="1" outlineLevel="1"/>
    <col min="6" max="6" width="17.85546875" customWidth="1"/>
    <col min="7" max="8" width="16.42578125" customWidth="1" outlineLevel="1"/>
    <col min="9" max="9" width="16.42578125" customWidth="1"/>
    <col min="10" max="10" width="14.85546875" customWidth="1"/>
    <col min="11" max="11" width="8.5703125" style="146" customWidth="1" outlineLevel="1"/>
    <col min="12" max="12" width="12.85546875" style="146" customWidth="1" outlineLevel="1"/>
    <col min="13" max="13" width="9.28515625" style="146" customWidth="1" outlineLevel="1"/>
    <col min="14" max="14" width="16.42578125" customWidth="1"/>
    <col min="15" max="15" width="15" customWidth="1"/>
    <col min="16" max="16" width="8.5703125" style="146" customWidth="1" outlineLevel="1"/>
    <col min="17" max="17" width="13.85546875" customWidth="1" outlineLevel="1"/>
    <col min="18" max="18" width="12" customWidth="1" outlineLevel="1"/>
    <col min="19" max="19" width="15" customWidth="1"/>
  </cols>
  <sheetData>
    <row r="1" spans="1:19" ht="12.6" customHeight="1" x14ac:dyDescent="0.25">
      <c r="F1" s="154" t="s">
        <v>340</v>
      </c>
      <c r="G1" s="153">
        <f>G78</f>
        <v>10932305.810000002</v>
      </c>
      <c r="H1" s="153">
        <f>H78</f>
        <v>0</v>
      </c>
      <c r="J1" s="158" t="s">
        <v>343</v>
      </c>
      <c r="K1" s="134">
        <f ca="1">WEEKNUM(TODAY())</f>
        <v>2</v>
      </c>
    </row>
    <row r="2" spans="1:19" ht="27.75" customHeight="1" x14ac:dyDescent="0.25">
      <c r="A2" s="44" t="s">
        <v>212</v>
      </c>
      <c r="B2" s="45" t="s">
        <v>1</v>
      </c>
      <c r="C2" s="46" t="s">
        <v>213</v>
      </c>
      <c r="D2" s="47" t="s">
        <v>214</v>
      </c>
      <c r="E2" s="47" t="s">
        <v>215</v>
      </c>
      <c r="F2" s="47" t="s">
        <v>216</v>
      </c>
      <c r="G2" s="48" t="s">
        <v>217</v>
      </c>
      <c r="H2" s="48" t="s">
        <v>218</v>
      </c>
      <c r="I2" s="48" t="s">
        <v>219</v>
      </c>
      <c r="J2" s="49" t="s">
        <v>220</v>
      </c>
      <c r="K2" s="96">
        <v>20</v>
      </c>
      <c r="L2" s="45" t="s">
        <v>221</v>
      </c>
      <c r="M2" s="45" t="str">
        <f>IF(H2=0,"CXC","CXC USD")</f>
        <v>CXC USD</v>
      </c>
      <c r="N2" s="48" t="s">
        <v>222</v>
      </c>
      <c r="O2" s="48" t="s">
        <v>223</v>
      </c>
      <c r="P2" s="96"/>
      <c r="Q2" s="48" t="str">
        <f>CONCATENATE(D2," (",F2,")")</f>
        <v>* CONCEPTO (CFDI
INGRESO / EGRESO)</v>
      </c>
      <c r="R2" s="48">
        <f ca="1">TODAY()</f>
        <v>46030</v>
      </c>
    </row>
    <row r="3" spans="1:19" ht="12.6" customHeight="1" x14ac:dyDescent="0.25">
      <c r="A3" s="53" t="s">
        <v>212</v>
      </c>
      <c r="B3" s="53" t="s">
        <v>212</v>
      </c>
      <c r="C3" s="55" t="s">
        <v>224</v>
      </c>
      <c r="D3" s="56"/>
      <c r="E3" s="56"/>
      <c r="F3" s="56"/>
      <c r="G3" s="57"/>
      <c r="H3" s="57"/>
      <c r="I3" s="57"/>
      <c r="J3" s="58"/>
      <c r="K3" s="129"/>
      <c r="L3" s="130"/>
      <c r="M3" s="130"/>
      <c r="N3" s="57"/>
      <c r="O3" s="61"/>
      <c r="P3" s="129"/>
      <c r="Q3" s="57"/>
      <c r="R3" s="57"/>
    </row>
    <row r="4" spans="1:19" ht="12.6" customHeight="1" x14ac:dyDescent="0.25">
      <c r="A4" s="53"/>
      <c r="B4" s="53"/>
      <c r="C4" s="131" t="s">
        <v>225</v>
      </c>
      <c r="D4" s="64"/>
      <c r="E4" s="64"/>
      <c r="F4" s="64"/>
      <c r="G4" s="65"/>
      <c r="H4" s="65"/>
      <c r="I4" s="65"/>
      <c r="J4" s="65"/>
      <c r="K4" s="132"/>
      <c r="L4" s="133"/>
      <c r="M4" s="133"/>
      <c r="N4" s="65"/>
      <c r="O4" s="61"/>
      <c r="P4" s="132"/>
      <c r="Q4" s="65"/>
      <c r="R4" s="65"/>
    </row>
    <row r="5" spans="1:19" ht="12.6" customHeight="1" x14ac:dyDescent="0.25">
      <c r="A5" s="53"/>
      <c r="B5" s="53"/>
      <c r="C5" s="69">
        <f ca="1">R2</f>
        <v>46030</v>
      </c>
      <c r="D5" s="64"/>
      <c r="E5" s="64"/>
      <c r="F5" s="64"/>
      <c r="G5" s="65"/>
      <c r="H5" s="65"/>
      <c r="I5" s="65"/>
      <c r="J5" s="70"/>
      <c r="K5" s="132">
        <v>0</v>
      </c>
      <c r="L5" s="133"/>
      <c r="M5" s="133"/>
      <c r="N5" s="65"/>
      <c r="O5" s="61"/>
      <c r="P5" s="132"/>
      <c r="Q5" s="65"/>
      <c r="R5" s="65"/>
    </row>
    <row r="6" spans="1:19" ht="12.6" customHeight="1" x14ac:dyDescent="0.25">
      <c r="A6" s="53"/>
      <c r="B6" s="53"/>
      <c r="C6" s="71" t="s">
        <v>226</v>
      </c>
      <c r="D6" s="64"/>
      <c r="E6" s="64"/>
      <c r="F6" s="64"/>
      <c r="G6" s="65"/>
      <c r="H6" s="65"/>
      <c r="I6" s="65"/>
      <c r="J6" s="72"/>
      <c r="K6" s="132"/>
      <c r="L6" s="133" t="s">
        <v>227</v>
      </c>
      <c r="M6" s="133"/>
      <c r="N6" s="65"/>
      <c r="O6" s="61"/>
      <c r="P6" s="132"/>
      <c r="Q6" s="65"/>
      <c r="R6" s="65"/>
    </row>
    <row r="7" spans="1:19" ht="12.6" customHeight="1" x14ac:dyDescent="0.25">
      <c r="A7" s="53"/>
      <c r="B7" s="45" t="s">
        <v>228</v>
      </c>
      <c r="C7" s="46" t="s">
        <v>213</v>
      </c>
      <c r="D7" s="47" t="s">
        <v>214</v>
      </c>
      <c r="E7" s="47" t="s">
        <v>215</v>
      </c>
      <c r="F7" s="47" t="s">
        <v>216</v>
      </c>
      <c r="G7" s="48" t="s">
        <v>217</v>
      </c>
      <c r="H7" s="48" t="s">
        <v>218</v>
      </c>
      <c r="I7" s="48" t="s">
        <v>219</v>
      </c>
      <c r="J7" s="49" t="s">
        <v>229</v>
      </c>
      <c r="K7" s="96"/>
      <c r="L7" s="45" t="str">
        <f>J7</f>
        <v>* Fecha Factura</v>
      </c>
      <c r="M7" s="45" t="str">
        <f>IF(H7=0,"CXC","CXC USD")</f>
        <v>CXC USD</v>
      </c>
      <c r="N7" s="48" t="s">
        <v>222</v>
      </c>
      <c r="O7" s="48" t="s">
        <v>223</v>
      </c>
      <c r="P7" s="96"/>
      <c r="Q7" s="48" t="s">
        <v>304</v>
      </c>
      <c r="R7" s="48" t="s">
        <v>305</v>
      </c>
    </row>
    <row r="8" spans="1:19" ht="12.6" customHeight="1" x14ac:dyDescent="0.25">
      <c r="A8" s="53"/>
      <c r="B8" s="53"/>
      <c r="C8" s="91"/>
      <c r="D8" s="92"/>
      <c r="E8" s="93"/>
      <c r="F8" s="93" t="s">
        <v>231</v>
      </c>
      <c r="G8" s="94" t="e">
        <f>SUBTOTAL(9,#REF!)</f>
        <v>#REF!</v>
      </c>
      <c r="H8" s="94" t="e">
        <f>SUBTOTAL(9,#REF!)</f>
        <v>#REF!</v>
      </c>
      <c r="I8" s="94" t="e">
        <f>SUBTOTAL(9,#REF!)</f>
        <v>#REF!</v>
      </c>
      <c r="J8" s="95"/>
      <c r="K8" s="136" t="s">
        <v>232</v>
      </c>
      <c r="L8" s="137" t="s">
        <v>233</v>
      </c>
      <c r="M8" s="137"/>
      <c r="N8" s="138" t="e">
        <f>SUBTOTAL(9,#REF!)</f>
        <v>#REF!</v>
      </c>
      <c r="O8" s="97" t="e">
        <f>SUBTOTAL(9,#REF!)</f>
        <v>#REF!</v>
      </c>
      <c r="P8" s="136"/>
      <c r="Q8" s="94"/>
      <c r="R8" s="94"/>
    </row>
    <row r="9" spans="1:19" ht="12.6" customHeight="1" x14ac:dyDescent="0.25">
      <c r="A9" s="53"/>
      <c r="B9" s="53"/>
      <c r="C9" s="71" t="s">
        <v>234</v>
      </c>
      <c r="D9" s="64"/>
      <c r="E9" s="64"/>
      <c r="F9" s="64"/>
      <c r="G9" s="65"/>
      <c r="H9" s="65"/>
      <c r="I9" s="65"/>
      <c r="J9" s="72"/>
      <c r="K9" s="132" t="s">
        <v>232</v>
      </c>
      <c r="L9" s="133" t="s">
        <v>227</v>
      </c>
      <c r="M9" s="133"/>
      <c r="N9" s="65"/>
      <c r="O9" s="61"/>
      <c r="P9" s="132"/>
      <c r="Q9" s="65"/>
      <c r="R9" s="65"/>
    </row>
    <row r="10" spans="1:19" ht="12.6" customHeight="1" x14ac:dyDescent="0.25">
      <c r="A10" s="53"/>
      <c r="B10" s="45" t="s">
        <v>228</v>
      </c>
      <c r="C10" s="46" t="s">
        <v>213</v>
      </c>
      <c r="D10" s="47" t="s">
        <v>214</v>
      </c>
      <c r="E10" s="47" t="s">
        <v>215</v>
      </c>
      <c r="F10" s="47" t="s">
        <v>216</v>
      </c>
      <c r="G10" s="48" t="s">
        <v>217</v>
      </c>
      <c r="H10" s="48" t="s">
        <v>218</v>
      </c>
      <c r="I10" s="48" t="s">
        <v>219</v>
      </c>
      <c r="J10" s="49" t="s">
        <v>229</v>
      </c>
      <c r="K10" s="96" t="s">
        <v>232</v>
      </c>
      <c r="L10" s="45" t="str">
        <f>J10</f>
        <v>* Fecha Factura</v>
      </c>
      <c r="M10" s="45" t="str">
        <f>IF(H10=0,"CXC","CXC USD")</f>
        <v>CXC USD</v>
      </c>
      <c r="N10" s="48" t="s">
        <v>222</v>
      </c>
      <c r="O10" s="48" t="s">
        <v>223</v>
      </c>
      <c r="P10" s="96"/>
      <c r="Q10" s="48" t="s">
        <v>304</v>
      </c>
      <c r="R10" s="48" t="s">
        <v>305</v>
      </c>
    </row>
    <row r="11" spans="1:19" ht="12.6" customHeight="1" x14ac:dyDescent="0.25">
      <c r="A11" s="53"/>
      <c r="B11" s="78" t="str">
        <f>IFERROR(VLOOKUP($E11,'Total Doi'!$B$3:$E$100,4,FALSE),"")</f>
        <v/>
      </c>
      <c r="C11" s="79" t="s">
        <v>235</v>
      </c>
      <c r="D11" s="79" t="s">
        <v>236</v>
      </c>
      <c r="E11" s="79" t="s">
        <v>27</v>
      </c>
      <c r="F11" s="80" t="s">
        <v>237</v>
      </c>
      <c r="G11" s="81">
        <v>-89335.1</v>
      </c>
      <c r="H11" s="81">
        <v>0</v>
      </c>
      <c r="I11" s="82">
        <f t="shared" ref="I11:I13" si="0">G11+(H11*$K$2)</f>
        <v>-89335.1</v>
      </c>
      <c r="J11" s="83">
        <v>45079</v>
      </c>
      <c r="K11" s="134">
        <v>22</v>
      </c>
      <c r="L11" s="135" t="s">
        <v>321</v>
      </c>
      <c r="M11" s="135" t="str">
        <f t="shared" ref="M11" si="1">IF(H11=0,"CXC","CXC USD")</f>
        <v>CXC</v>
      </c>
      <c r="N11" s="81">
        <f t="shared" ref="N11:N13" si="2">IFERROR($I11/P11,0)</f>
        <v>-79763.482142857145</v>
      </c>
      <c r="O11" s="101">
        <f t="shared" ref="O11:O13" si="3">N11/1.16</f>
        <v>-68761.622536945826</v>
      </c>
      <c r="P11" s="134">
        <f>_xlfn.XLOOKUP(E11,'Total Doi'!B:B,'Total Doi'!F:F,1.12,FALSE)</f>
        <v>1.1200000000000001</v>
      </c>
      <c r="Q11" s="81"/>
      <c r="R11" s="81"/>
    </row>
    <row r="12" spans="1:19" ht="12.6" customHeight="1" x14ac:dyDescent="0.25">
      <c r="A12" s="53"/>
      <c r="B12" s="78" t="str">
        <f>IFERROR(VLOOKUP($E12,'Total Doi'!$B$3:$E$100,4,FALSE),"")</f>
        <v/>
      </c>
      <c r="C12" s="79" t="s">
        <v>235</v>
      </c>
      <c r="D12" s="79" t="s">
        <v>236</v>
      </c>
      <c r="E12" s="79" t="s">
        <v>29</v>
      </c>
      <c r="F12" s="80" t="s">
        <v>238</v>
      </c>
      <c r="G12" s="81">
        <v>-260543.7</v>
      </c>
      <c r="H12" s="81">
        <v>0</v>
      </c>
      <c r="I12" s="82">
        <f t="shared" si="0"/>
        <v>-260543.7</v>
      </c>
      <c r="J12" s="83">
        <v>45079</v>
      </c>
      <c r="K12" s="134">
        <v>22</v>
      </c>
      <c r="L12" s="135" t="s">
        <v>321</v>
      </c>
      <c r="M12" s="135" t="str">
        <f t="shared" ref="M12:M13" si="4">IF(H12=0,"CXC","CXC USD")</f>
        <v>CXC</v>
      </c>
      <c r="N12" s="81">
        <f t="shared" si="2"/>
        <v>-232628.30357142855</v>
      </c>
      <c r="O12" s="101">
        <f t="shared" si="3"/>
        <v>-200541.6410098522</v>
      </c>
      <c r="P12" s="134">
        <f>_xlfn.XLOOKUP(E12,'Total Doi'!B:B,'Total Doi'!F:F,1.12,FALSE)</f>
        <v>1.1200000000000001</v>
      </c>
      <c r="Q12" s="81"/>
      <c r="R12" s="81"/>
    </row>
    <row r="13" spans="1:19" ht="12.6" customHeight="1" x14ac:dyDescent="0.25">
      <c r="A13" s="53"/>
      <c r="B13" s="78" t="str">
        <f>IFERROR(VLOOKUP($E13,'Total Doi'!$B$3:$E$100,4,FALSE),"")</f>
        <v/>
      </c>
      <c r="C13" s="79" t="s">
        <v>235</v>
      </c>
      <c r="D13" s="79" t="s">
        <v>236</v>
      </c>
      <c r="E13" s="79" t="s">
        <v>28</v>
      </c>
      <c r="F13" s="80" t="s">
        <v>239</v>
      </c>
      <c r="G13" s="81">
        <v>-302539.57</v>
      </c>
      <c r="H13" s="81">
        <v>0</v>
      </c>
      <c r="I13" s="82">
        <f t="shared" si="0"/>
        <v>-302539.57</v>
      </c>
      <c r="J13" s="83">
        <v>45135</v>
      </c>
      <c r="K13" s="134">
        <v>30</v>
      </c>
      <c r="L13" s="135" t="s">
        <v>321</v>
      </c>
      <c r="M13" s="135" t="str">
        <f t="shared" si="4"/>
        <v>CXC</v>
      </c>
      <c r="N13" s="81">
        <f t="shared" si="2"/>
        <v>-270124.61607142858</v>
      </c>
      <c r="O13" s="101">
        <f t="shared" si="3"/>
        <v>-232866.04833743843</v>
      </c>
      <c r="P13" s="134">
        <f>_xlfn.XLOOKUP(E13,'Total Doi'!B:B,'Total Doi'!F:F,1.12,FALSE)</f>
        <v>1.1200000000000001</v>
      </c>
      <c r="Q13" s="81"/>
      <c r="R13" s="81"/>
    </row>
    <row r="14" spans="1:19" ht="12.6" customHeight="1" x14ac:dyDescent="0.25">
      <c r="A14" s="53"/>
      <c r="B14" s="53"/>
      <c r="C14" s="91"/>
      <c r="D14" s="92"/>
      <c r="E14" s="93"/>
      <c r="F14" s="93" t="s">
        <v>231</v>
      </c>
      <c r="G14" s="94">
        <f>SUBTOTAL(9,G11:G13)</f>
        <v>-652418.37000000011</v>
      </c>
      <c r="H14" s="94">
        <f>SUBTOTAL(9,H11:H13)</f>
        <v>0</v>
      </c>
      <c r="I14" s="94">
        <f>SUBTOTAL(9,I11:I13)</f>
        <v>-652418.37000000011</v>
      </c>
      <c r="J14" s="95"/>
      <c r="K14" s="136" t="s">
        <v>232</v>
      </c>
      <c r="L14" s="137" t="s">
        <v>233</v>
      </c>
      <c r="M14" s="137"/>
      <c r="N14" s="138">
        <f>SUBTOTAL(9,N11:N13)</f>
        <v>-582516.40178571432</v>
      </c>
      <c r="O14" s="97">
        <f>SUBTOTAL(9,O11:O13)</f>
        <v>-502169.31188423646</v>
      </c>
      <c r="P14" s="136"/>
      <c r="Q14" s="94"/>
      <c r="R14" s="94"/>
    </row>
    <row r="15" spans="1:19" ht="12.6" customHeight="1" x14ac:dyDescent="0.25">
      <c r="A15" s="53"/>
      <c r="B15" s="53"/>
      <c r="C15" s="71" t="s">
        <v>31</v>
      </c>
      <c r="D15" s="64"/>
      <c r="E15" s="64"/>
      <c r="F15" s="64"/>
      <c r="G15" s="65"/>
      <c r="H15" s="65"/>
      <c r="I15" s="65"/>
      <c r="J15" s="72"/>
      <c r="K15" s="132" t="s">
        <v>232</v>
      </c>
      <c r="L15" s="133" t="s">
        <v>227</v>
      </c>
      <c r="M15" s="133"/>
      <c r="N15" s="65"/>
      <c r="O15" s="61"/>
      <c r="P15" s="132"/>
      <c r="Q15" s="65"/>
      <c r="R15" s="65"/>
    </row>
    <row r="16" spans="1:19" ht="12.6" customHeight="1" x14ac:dyDescent="0.25">
      <c r="A16" s="53"/>
      <c r="B16" s="45" t="s">
        <v>228</v>
      </c>
      <c r="C16" s="46" t="s">
        <v>213</v>
      </c>
      <c r="D16" s="47" t="s">
        <v>214</v>
      </c>
      <c r="E16" s="47" t="s">
        <v>215</v>
      </c>
      <c r="F16" s="47" t="s">
        <v>216</v>
      </c>
      <c r="G16" s="48" t="s">
        <v>217</v>
      </c>
      <c r="H16" s="48" t="s">
        <v>218</v>
      </c>
      <c r="I16" s="48" t="s">
        <v>219</v>
      </c>
      <c r="J16" s="49" t="s">
        <v>229</v>
      </c>
      <c r="K16" s="96" t="s">
        <v>232</v>
      </c>
      <c r="L16" s="45" t="str">
        <f>J16</f>
        <v>* Fecha Factura</v>
      </c>
      <c r="M16" s="45" t="str">
        <f>IF(H16=0,"CXC","CXC USD")</f>
        <v>CXC USD</v>
      </c>
      <c r="N16" s="48" t="s">
        <v>222</v>
      </c>
      <c r="O16" s="48" t="s">
        <v>223</v>
      </c>
      <c r="P16" s="96"/>
      <c r="Q16" s="48" t="s">
        <v>304</v>
      </c>
      <c r="R16" s="48" t="s">
        <v>305</v>
      </c>
      <c r="S16" t="s">
        <v>211</v>
      </c>
    </row>
    <row r="17" spans="1:18" ht="12.6" customHeight="1" x14ac:dyDescent="0.25">
      <c r="A17" s="53"/>
      <c r="B17" s="78" t="str">
        <f>IFERROR(VLOOKUP($E17,'Total Doi'!$B$3:$E$100,4,FALSE),"")</f>
        <v>ALVAR CONDOS</v>
      </c>
      <c r="C17" s="139" t="s">
        <v>230</v>
      </c>
      <c r="D17" s="139" t="s">
        <v>307</v>
      </c>
      <c r="E17" s="139" t="s">
        <v>64</v>
      </c>
      <c r="F17" s="140" t="s">
        <v>308</v>
      </c>
      <c r="G17" s="118">
        <f>1045774.7-863142.63</f>
        <v>182632.06999999995</v>
      </c>
      <c r="H17" s="118">
        <v>0</v>
      </c>
      <c r="I17" s="82">
        <f t="shared" ref="I17:I18" si="5">G17+(H17*$K$2)</f>
        <v>182632.06999999995</v>
      </c>
      <c r="J17" s="83">
        <v>45807</v>
      </c>
      <c r="K17" s="134">
        <v>22</v>
      </c>
      <c r="L17" s="135" t="s">
        <v>321</v>
      </c>
      <c r="M17" s="135" t="str">
        <f t="shared" ref="M17:M18" si="6">IF(H17=0,"CXC","CXC USD")</f>
        <v>CXC</v>
      </c>
      <c r="N17" s="81">
        <f t="shared" ref="N17:N24" si="7">IFERROR($I17/P17,0)</f>
        <v>165277.89140271489</v>
      </c>
      <c r="O17" s="101">
        <f t="shared" ref="O17:O30" si="8">N17/1.16</f>
        <v>142480.94086440941</v>
      </c>
      <c r="P17" s="134">
        <f>_xlfn.XLOOKUP(E17,'Total Doi'!B:B,'Total Doi'!F:F,1.12,FALSE)</f>
        <v>1.105</v>
      </c>
      <c r="Q17" s="81">
        <f t="shared" ref="Q17" si="9">(G17*0.05)*-1</f>
        <v>-9131.6034999999974</v>
      </c>
      <c r="R17" s="81">
        <f t="shared" ref="R17" si="10">(H17*0.05)*-1</f>
        <v>0</v>
      </c>
    </row>
    <row r="18" spans="1:18" ht="12.6" customHeight="1" x14ac:dyDescent="0.25">
      <c r="A18" s="53"/>
      <c r="B18" s="78" t="str">
        <f>IFERROR(VLOOKUP($E18,'Total Doi'!$B$3:$E$100,4,FALSE),"")</f>
        <v>ALVAR CONDOS</v>
      </c>
      <c r="C18" s="139" t="s">
        <v>230</v>
      </c>
      <c r="D18" s="139" t="s">
        <v>333</v>
      </c>
      <c r="E18" s="139" t="s">
        <v>64</v>
      </c>
      <c r="F18" s="140" t="s">
        <v>334</v>
      </c>
      <c r="G18" s="118">
        <v>293129.18</v>
      </c>
      <c r="H18" s="118">
        <v>0</v>
      </c>
      <c r="I18" s="82">
        <f t="shared" si="5"/>
        <v>293129.18</v>
      </c>
      <c r="J18" s="83">
        <v>45919</v>
      </c>
      <c r="K18" s="134">
        <v>38</v>
      </c>
      <c r="L18" s="151" t="s">
        <v>252</v>
      </c>
      <c r="M18" s="135" t="str">
        <f t="shared" si="6"/>
        <v>CXC</v>
      </c>
      <c r="N18" s="81">
        <f t="shared" si="7"/>
        <v>265275.27601809957</v>
      </c>
      <c r="O18" s="101">
        <f t="shared" si="8"/>
        <v>228685.58277422379</v>
      </c>
      <c r="P18" s="134">
        <f>_xlfn.XLOOKUP(E18,'Total Doi'!B:B,'Total Doi'!F:F,1.12,FALSE)</f>
        <v>1.105</v>
      </c>
      <c r="Q18" s="81">
        <f t="shared" ref="Q18:Q30" si="11">IF(B18="ALVAR CONDOS",(G18*0.05)*-1,0)</f>
        <v>-14656.459000000001</v>
      </c>
      <c r="R18" s="81">
        <f t="shared" ref="R18:R30" si="12">IF(B18="ALVAR CONDOS",H18*0.05*-1,0)</f>
        <v>0</v>
      </c>
    </row>
    <row r="19" spans="1:18" ht="12.6" customHeight="1" x14ac:dyDescent="0.25">
      <c r="A19" s="53"/>
      <c r="B19" s="78" t="str">
        <f>IFERROR(VLOOKUP($E19,'Total Doi'!$B$3:$E$100,4,FALSE),"")</f>
        <v>ALVAR CONDOS</v>
      </c>
      <c r="C19" s="98" t="s">
        <v>230</v>
      </c>
      <c r="D19" s="98" t="s">
        <v>356</v>
      </c>
      <c r="E19" s="98" t="s">
        <v>65</v>
      </c>
      <c r="F19" s="99" t="s">
        <v>357</v>
      </c>
      <c r="G19" s="100">
        <v>40192.18</v>
      </c>
      <c r="H19" s="100">
        <v>0</v>
      </c>
      <c r="I19" s="82">
        <f t="shared" ref="I19:I37" si="13">G19+(H19*$K$2)</f>
        <v>40192.18</v>
      </c>
      <c r="J19" s="83">
        <v>45975</v>
      </c>
      <c r="K19" s="134">
        <v>46</v>
      </c>
      <c r="L19" s="134" t="s">
        <v>420</v>
      </c>
      <c r="M19" s="135" t="str">
        <f t="shared" ref="M19:M37" si="14">IF(H19=0,"CXC","CXC USD")</f>
        <v>CXC</v>
      </c>
      <c r="N19" s="81">
        <f t="shared" si="7"/>
        <v>36046.798206278028</v>
      </c>
      <c r="O19" s="101">
        <f t="shared" si="8"/>
        <v>31074.826039894855</v>
      </c>
      <c r="P19" s="134">
        <f>_xlfn.XLOOKUP(E19,'Total Doi'!B:B,'Total Doi'!F:F,1.12,FALSE)</f>
        <v>1.115</v>
      </c>
      <c r="Q19" s="81">
        <f t="shared" si="11"/>
        <v>-2009.6090000000002</v>
      </c>
      <c r="R19" s="81">
        <f t="shared" si="12"/>
        <v>0</v>
      </c>
    </row>
    <row r="20" spans="1:18" ht="12.6" customHeight="1" x14ac:dyDescent="0.25">
      <c r="A20" s="53"/>
      <c r="B20" s="78" t="str">
        <f>IFERROR(VLOOKUP($E20,'Total Doi'!$B$3:$E$100,4,FALSE),"")</f>
        <v>ALVAR CONDOS</v>
      </c>
      <c r="C20" s="98" t="s">
        <v>230</v>
      </c>
      <c r="D20" s="98" t="s">
        <v>358</v>
      </c>
      <c r="E20" s="98" t="s">
        <v>65</v>
      </c>
      <c r="F20" s="99" t="s">
        <v>359</v>
      </c>
      <c r="G20" s="100">
        <v>122538.78</v>
      </c>
      <c r="H20" s="100">
        <v>0</v>
      </c>
      <c r="I20" s="82">
        <f t="shared" si="13"/>
        <v>122538.78</v>
      </c>
      <c r="J20" s="83">
        <v>45975</v>
      </c>
      <c r="K20" s="134">
        <v>46</v>
      </c>
      <c r="L20" s="134" t="s">
        <v>420</v>
      </c>
      <c r="M20" s="135" t="str">
        <f t="shared" si="14"/>
        <v>CXC</v>
      </c>
      <c r="N20" s="81">
        <f t="shared" si="7"/>
        <v>109900.25112107623</v>
      </c>
      <c r="O20" s="101">
        <f t="shared" si="8"/>
        <v>94741.595794031236</v>
      </c>
      <c r="P20" s="134">
        <f>_xlfn.XLOOKUP(E20,'Total Doi'!B:B,'Total Doi'!F:F,1.12,FALSE)</f>
        <v>1.115</v>
      </c>
      <c r="Q20" s="81">
        <f t="shared" si="11"/>
        <v>-6126.9390000000003</v>
      </c>
      <c r="R20" s="81">
        <f t="shared" si="12"/>
        <v>0</v>
      </c>
    </row>
    <row r="21" spans="1:18" ht="12.6" customHeight="1" x14ac:dyDescent="0.25">
      <c r="A21" s="53"/>
      <c r="B21" s="78" t="str">
        <f>IFERROR(VLOOKUP($E21,'Total Doi'!$B$3:$E$100,4,FALSE),"")</f>
        <v>ALVAR CONDOS</v>
      </c>
      <c r="C21" s="98" t="s">
        <v>230</v>
      </c>
      <c r="D21" s="98" t="s">
        <v>360</v>
      </c>
      <c r="E21" s="98" t="s">
        <v>65</v>
      </c>
      <c r="F21" s="99" t="s">
        <v>361</v>
      </c>
      <c r="G21" s="100">
        <v>160347.06</v>
      </c>
      <c r="H21" s="100">
        <v>0</v>
      </c>
      <c r="I21" s="82">
        <f t="shared" si="13"/>
        <v>160347.06</v>
      </c>
      <c r="J21" s="83">
        <v>45975</v>
      </c>
      <c r="K21" s="134">
        <v>46</v>
      </c>
      <c r="L21" s="134" t="s">
        <v>420</v>
      </c>
      <c r="M21" s="135" t="str">
        <f t="shared" si="14"/>
        <v>CXC</v>
      </c>
      <c r="N21" s="81">
        <f t="shared" si="7"/>
        <v>143809.02242152466</v>
      </c>
      <c r="O21" s="101">
        <f t="shared" si="8"/>
        <v>123973.29519096954</v>
      </c>
      <c r="P21" s="134">
        <f>_xlfn.XLOOKUP(E21,'Total Doi'!B:B,'Total Doi'!F:F,1.12,FALSE)</f>
        <v>1.115</v>
      </c>
      <c r="Q21" s="81">
        <f t="shared" si="11"/>
        <v>-8017.3530000000001</v>
      </c>
      <c r="R21" s="81">
        <f t="shared" si="12"/>
        <v>0</v>
      </c>
    </row>
    <row r="22" spans="1:18" ht="12.6" customHeight="1" x14ac:dyDescent="0.25">
      <c r="A22" s="53"/>
      <c r="B22" s="78" t="str">
        <f>IFERROR(VLOOKUP($E22,'Total Doi'!$B$3:$E$100,4,FALSE),"")</f>
        <v>ALVAR CONDOS</v>
      </c>
      <c r="C22" s="98" t="s">
        <v>230</v>
      </c>
      <c r="D22" s="98" t="s">
        <v>362</v>
      </c>
      <c r="E22" s="98" t="s">
        <v>65</v>
      </c>
      <c r="F22" s="99" t="s">
        <v>363</v>
      </c>
      <c r="G22" s="100">
        <v>215976.25</v>
      </c>
      <c r="H22" s="100">
        <v>0</v>
      </c>
      <c r="I22" s="82">
        <f t="shared" si="13"/>
        <v>215976.25</v>
      </c>
      <c r="J22" s="83">
        <v>45975</v>
      </c>
      <c r="K22" s="134">
        <v>46</v>
      </c>
      <c r="L22" s="134" t="s">
        <v>420</v>
      </c>
      <c r="M22" s="135" t="str">
        <f t="shared" si="14"/>
        <v>CXC</v>
      </c>
      <c r="N22" s="81">
        <f t="shared" si="7"/>
        <v>193700.67264573992</v>
      </c>
      <c r="O22" s="101">
        <f t="shared" si="8"/>
        <v>166983.33848770685</v>
      </c>
      <c r="P22" s="134">
        <f>_xlfn.XLOOKUP(E22,'Total Doi'!B:B,'Total Doi'!F:F,1.12,FALSE)</f>
        <v>1.115</v>
      </c>
      <c r="Q22" s="81">
        <f t="shared" si="11"/>
        <v>-10798.8125</v>
      </c>
      <c r="R22" s="81">
        <f t="shared" si="12"/>
        <v>0</v>
      </c>
    </row>
    <row r="23" spans="1:18" ht="12.6" customHeight="1" x14ac:dyDescent="0.25">
      <c r="A23" s="53"/>
      <c r="B23" s="78" t="str">
        <f>IFERROR(VLOOKUP($E23,'Total Doi'!$B$3:$E$100,4,FALSE),"")</f>
        <v>ALVAR CONDOS</v>
      </c>
      <c r="C23" s="98" t="s">
        <v>230</v>
      </c>
      <c r="D23" s="98" t="s">
        <v>364</v>
      </c>
      <c r="E23" s="98" t="s">
        <v>65</v>
      </c>
      <c r="F23" s="99" t="s">
        <v>365</v>
      </c>
      <c r="G23" s="100">
        <v>24987.4</v>
      </c>
      <c r="H23" s="100">
        <v>0</v>
      </c>
      <c r="I23" s="82">
        <f t="shared" si="13"/>
        <v>24987.4</v>
      </c>
      <c r="J23" s="83">
        <v>45975</v>
      </c>
      <c r="K23" s="134">
        <v>46</v>
      </c>
      <c r="L23" s="134" t="s">
        <v>420</v>
      </c>
      <c r="M23" s="135" t="str">
        <f t="shared" si="14"/>
        <v>CXC</v>
      </c>
      <c r="N23" s="81">
        <f t="shared" si="7"/>
        <v>22410.224215246639</v>
      </c>
      <c r="O23" s="101">
        <f t="shared" si="8"/>
        <v>19319.158806247106</v>
      </c>
      <c r="P23" s="134">
        <f>_xlfn.XLOOKUP(E23,'Total Doi'!B:B,'Total Doi'!F:F,1.12,FALSE)</f>
        <v>1.115</v>
      </c>
      <c r="Q23" s="81">
        <f t="shared" si="11"/>
        <v>-1249.3700000000001</v>
      </c>
      <c r="R23" s="81">
        <f t="shared" si="12"/>
        <v>0</v>
      </c>
    </row>
    <row r="24" spans="1:18" ht="12.6" customHeight="1" x14ac:dyDescent="0.25">
      <c r="A24" s="53"/>
      <c r="B24" s="78" t="str">
        <f>IFERROR(VLOOKUP($E24,'Total Doi'!$B$3:$E$100,4,FALSE),"")</f>
        <v>ALVAR</v>
      </c>
      <c r="C24" s="98" t="s">
        <v>230</v>
      </c>
      <c r="D24" s="98" t="s">
        <v>366</v>
      </c>
      <c r="E24" s="98" t="s">
        <v>43</v>
      </c>
      <c r="F24" s="99" t="s">
        <v>367</v>
      </c>
      <c r="G24" s="100">
        <v>321189.3</v>
      </c>
      <c r="H24" s="100">
        <v>0</v>
      </c>
      <c r="I24" s="82">
        <f t="shared" si="13"/>
        <v>321189.3</v>
      </c>
      <c r="J24" s="83">
        <v>45975</v>
      </c>
      <c r="K24" s="134">
        <v>46</v>
      </c>
      <c r="L24" s="134" t="s">
        <v>420</v>
      </c>
      <c r="M24" s="135" t="str">
        <f t="shared" si="14"/>
        <v>CXC</v>
      </c>
      <c r="N24" s="81">
        <f t="shared" si="7"/>
        <v>281744.99999999994</v>
      </c>
      <c r="O24" s="101">
        <f t="shared" si="8"/>
        <v>242883.62068965513</v>
      </c>
      <c r="P24" s="134">
        <f>_xlfn.XLOOKUP(E24,'Total Doi'!B:B,'Total Doi'!F:F,1.12,FALSE)</f>
        <v>1.1400000000000001</v>
      </c>
      <c r="Q24" s="81">
        <f t="shared" si="11"/>
        <v>0</v>
      </c>
      <c r="R24" s="81">
        <f t="shared" si="12"/>
        <v>0</v>
      </c>
    </row>
    <row r="25" spans="1:18" ht="12.6" customHeight="1" x14ac:dyDescent="0.25">
      <c r="A25" s="53"/>
      <c r="B25" s="78" t="str">
        <f>IFERROR(VLOOKUP($E25,'Total Doi'!$B$3:$E$100,4,FALSE),"")</f>
        <v>ALVAR</v>
      </c>
      <c r="C25" s="98" t="s">
        <v>230</v>
      </c>
      <c r="D25" s="98" t="s">
        <v>368</v>
      </c>
      <c r="E25" s="98" t="s">
        <v>43</v>
      </c>
      <c r="F25" s="99" t="s">
        <v>369</v>
      </c>
      <c r="G25" s="100">
        <v>351986.03</v>
      </c>
      <c r="H25" s="100">
        <v>0</v>
      </c>
      <c r="I25" s="82">
        <f t="shared" si="13"/>
        <v>351986.03</v>
      </c>
      <c r="J25" s="83">
        <v>45975</v>
      </c>
      <c r="K25" s="134">
        <v>46</v>
      </c>
      <c r="L25" s="134" t="s">
        <v>420</v>
      </c>
      <c r="M25" s="135" t="str">
        <f t="shared" si="14"/>
        <v>CXC</v>
      </c>
      <c r="N25" s="81">
        <f t="shared" ref="N25:N34" si="15">IFERROR($I25/P25,0)</f>
        <v>308759.67543859646</v>
      </c>
      <c r="O25" s="101">
        <f t="shared" si="8"/>
        <v>266172.13399879006</v>
      </c>
      <c r="P25" s="134">
        <f>_xlfn.XLOOKUP(E25,'Total Doi'!B:B,'Total Doi'!F:F,1.12,FALSE)</f>
        <v>1.1400000000000001</v>
      </c>
      <c r="Q25" s="81">
        <f t="shared" si="11"/>
        <v>0</v>
      </c>
      <c r="R25" s="81">
        <f t="shared" si="12"/>
        <v>0</v>
      </c>
    </row>
    <row r="26" spans="1:18" ht="12.6" customHeight="1" x14ac:dyDescent="0.25">
      <c r="A26" s="53"/>
      <c r="B26" s="78" t="str">
        <f>IFERROR(VLOOKUP($E26,'Total Doi'!$B$3:$E$100,4,FALSE),"")</f>
        <v>ALVAR</v>
      </c>
      <c r="C26" s="98" t="s">
        <v>230</v>
      </c>
      <c r="D26" s="98" t="s">
        <v>370</v>
      </c>
      <c r="E26" s="98" t="s">
        <v>53</v>
      </c>
      <c r="F26" s="99" t="s">
        <v>371</v>
      </c>
      <c r="G26" s="100">
        <v>79316.86</v>
      </c>
      <c r="H26" s="100">
        <v>0</v>
      </c>
      <c r="I26" s="82">
        <f t="shared" si="13"/>
        <v>79316.86</v>
      </c>
      <c r="J26" s="83">
        <v>45975</v>
      </c>
      <c r="K26" s="134">
        <v>46</v>
      </c>
      <c r="L26" s="134" t="s">
        <v>420</v>
      </c>
      <c r="M26" s="135" t="str">
        <f t="shared" si="14"/>
        <v>CXC</v>
      </c>
      <c r="N26" s="81">
        <f t="shared" si="15"/>
        <v>69576.192982456138</v>
      </c>
      <c r="O26" s="101">
        <f t="shared" si="8"/>
        <v>59979.476709013914</v>
      </c>
      <c r="P26" s="134">
        <f>_xlfn.XLOOKUP(E26,'Total Doi'!B:B,'Total Doi'!F:F,1.12,FALSE)</f>
        <v>1.1400000000000001</v>
      </c>
      <c r="Q26" s="81">
        <f t="shared" si="11"/>
        <v>0</v>
      </c>
      <c r="R26" s="81">
        <f t="shared" si="12"/>
        <v>0</v>
      </c>
    </row>
    <row r="27" spans="1:18" ht="12.6" customHeight="1" x14ac:dyDescent="0.25">
      <c r="A27" s="53"/>
      <c r="B27" s="78" t="str">
        <f>IFERROR(VLOOKUP($E27,'Total Doi'!$B$3:$E$100,4,FALSE),"")</f>
        <v>DOI ALVAR CONDOMINIO 06</v>
      </c>
      <c r="C27" s="79" t="s">
        <v>230</v>
      </c>
      <c r="D27" s="79" t="s">
        <v>383</v>
      </c>
      <c r="E27" s="79" t="s">
        <v>325</v>
      </c>
      <c r="F27" s="80" t="s">
        <v>347</v>
      </c>
      <c r="G27" s="81">
        <v>493395.92000000004</v>
      </c>
      <c r="H27" s="81">
        <v>0</v>
      </c>
      <c r="I27" s="82">
        <f t="shared" si="13"/>
        <v>493395.92000000004</v>
      </c>
      <c r="J27" s="83">
        <v>45982</v>
      </c>
      <c r="K27" s="134">
        <v>47</v>
      </c>
      <c r="L27" s="134" t="s">
        <v>384</v>
      </c>
      <c r="M27" s="135" t="str">
        <f t="shared" si="14"/>
        <v>CXC</v>
      </c>
      <c r="N27" s="81">
        <f t="shared" si="15"/>
        <v>442507.55156950676</v>
      </c>
      <c r="O27" s="101">
        <f t="shared" si="8"/>
        <v>381472.02721509204</v>
      </c>
      <c r="P27" s="134">
        <f>_xlfn.XLOOKUP(E27,'Total Doi'!B:B,'Total Doi'!F:F,1.12,FALSE)</f>
        <v>1.115</v>
      </c>
      <c r="Q27" s="81">
        <f t="shared" si="11"/>
        <v>0</v>
      </c>
      <c r="R27" s="81">
        <f t="shared" si="12"/>
        <v>0</v>
      </c>
    </row>
    <row r="28" spans="1:18" ht="12.6" customHeight="1" x14ac:dyDescent="0.25">
      <c r="A28" s="53"/>
      <c r="B28" s="78" t="str">
        <f>IFERROR(VLOOKUP($E28,'Total Doi'!$B$3:$E$100,4,FALSE),"")</f>
        <v>ALVAR CONDOS</v>
      </c>
      <c r="C28" s="79" t="s">
        <v>230</v>
      </c>
      <c r="D28" s="79" t="s">
        <v>406</v>
      </c>
      <c r="E28" s="79" t="s">
        <v>65</v>
      </c>
      <c r="F28" s="80" t="s">
        <v>407</v>
      </c>
      <c r="G28" s="81">
        <v>305774.11</v>
      </c>
      <c r="H28" s="81">
        <v>0</v>
      </c>
      <c r="I28" s="82">
        <f t="shared" si="13"/>
        <v>305774.11</v>
      </c>
      <c r="J28" s="83">
        <v>45982</v>
      </c>
      <c r="K28" s="134">
        <v>47</v>
      </c>
      <c r="L28" s="134" t="s">
        <v>384</v>
      </c>
      <c r="M28" s="135" t="str">
        <f t="shared" si="14"/>
        <v>CXC</v>
      </c>
      <c r="N28" s="81">
        <f t="shared" si="15"/>
        <v>274236.86995515693</v>
      </c>
      <c r="O28" s="101">
        <f t="shared" si="8"/>
        <v>236411.0947889284</v>
      </c>
      <c r="P28" s="134">
        <f>_xlfn.XLOOKUP(E28,'Total Doi'!B:B,'Total Doi'!F:F,1.12,FALSE)</f>
        <v>1.115</v>
      </c>
      <c r="Q28" s="81">
        <f t="shared" si="11"/>
        <v>-15288.7055</v>
      </c>
      <c r="R28" s="81">
        <f t="shared" si="12"/>
        <v>0</v>
      </c>
    </row>
    <row r="29" spans="1:18" ht="12.6" customHeight="1" x14ac:dyDescent="0.25">
      <c r="A29" s="53"/>
      <c r="B29" s="78" t="str">
        <f>IFERROR(VLOOKUP($E29,'Total Doi'!$B$3:$E$100,4,FALSE),"")</f>
        <v>ALVAR CONDOS</v>
      </c>
      <c r="C29" s="79" t="s">
        <v>230</v>
      </c>
      <c r="D29" s="79" t="s">
        <v>408</v>
      </c>
      <c r="E29" s="79" t="s">
        <v>65</v>
      </c>
      <c r="F29" s="80" t="s">
        <v>409</v>
      </c>
      <c r="G29" s="81">
        <v>125361.63</v>
      </c>
      <c r="H29" s="81">
        <v>0</v>
      </c>
      <c r="I29" s="82">
        <f t="shared" si="13"/>
        <v>125361.63</v>
      </c>
      <c r="J29" s="83">
        <v>45982</v>
      </c>
      <c r="K29" s="134">
        <v>47</v>
      </c>
      <c r="L29" s="134" t="s">
        <v>384</v>
      </c>
      <c r="M29" s="135" t="str">
        <f t="shared" si="14"/>
        <v>CXC</v>
      </c>
      <c r="N29" s="81">
        <f t="shared" si="15"/>
        <v>112431.95515695067</v>
      </c>
      <c r="O29" s="101">
        <f t="shared" si="8"/>
        <v>96924.09927323334</v>
      </c>
      <c r="P29" s="134">
        <f>_xlfn.XLOOKUP(E29,'Total Doi'!B:B,'Total Doi'!F:F,1.12,FALSE)</f>
        <v>1.115</v>
      </c>
      <c r="Q29" s="81">
        <f t="shared" si="11"/>
        <v>-6268.0815000000002</v>
      </c>
      <c r="R29" s="81">
        <f t="shared" si="12"/>
        <v>0</v>
      </c>
    </row>
    <row r="30" spans="1:18" ht="12.6" customHeight="1" x14ac:dyDescent="0.25">
      <c r="A30" s="53"/>
      <c r="B30" s="78" t="str">
        <f>IFERROR(VLOOKUP($E30,'Total Doi'!$B$3:$E$100,4,FALSE),"")</f>
        <v>ALVAR CONDOS</v>
      </c>
      <c r="C30" s="79" t="s">
        <v>230</v>
      </c>
      <c r="D30" s="79" t="s">
        <v>410</v>
      </c>
      <c r="E30" s="79" t="s">
        <v>65</v>
      </c>
      <c r="F30" s="80" t="s">
        <v>411</v>
      </c>
      <c r="G30" s="81">
        <v>37261.449999999997</v>
      </c>
      <c r="H30" s="81">
        <v>0</v>
      </c>
      <c r="I30" s="82">
        <f t="shared" si="13"/>
        <v>37261.449999999997</v>
      </c>
      <c r="J30" s="83">
        <v>45982</v>
      </c>
      <c r="K30" s="134">
        <v>47</v>
      </c>
      <c r="L30" s="134" t="s">
        <v>384</v>
      </c>
      <c r="M30" s="135" t="str">
        <f t="shared" si="14"/>
        <v>CXC</v>
      </c>
      <c r="N30" s="81">
        <f t="shared" si="15"/>
        <v>33418.340807174885</v>
      </c>
      <c r="O30" s="101">
        <f t="shared" si="8"/>
        <v>28808.914488943868</v>
      </c>
      <c r="P30" s="134">
        <f>_xlfn.XLOOKUP(E30,'Total Doi'!B:B,'Total Doi'!F:F,1.12,FALSE)</f>
        <v>1.115</v>
      </c>
      <c r="Q30" s="81">
        <f t="shared" si="11"/>
        <v>-1863.0725</v>
      </c>
      <c r="R30" s="81">
        <f t="shared" si="12"/>
        <v>0</v>
      </c>
    </row>
    <row r="31" spans="1:18" ht="12.6" customHeight="1" x14ac:dyDescent="0.25">
      <c r="A31" s="53"/>
      <c r="B31" s="78" t="str">
        <f>IFERROR(VLOOKUP($E31,'Total Doi'!$B$3:$E$100,4,FALSE),"")</f>
        <v>DOI ALVAR CONDOMINIO 06</v>
      </c>
      <c r="C31" s="98" t="s">
        <v>230</v>
      </c>
      <c r="D31" s="98" t="s">
        <v>419</v>
      </c>
      <c r="E31" s="98" t="s">
        <v>325</v>
      </c>
      <c r="F31" s="99" t="s">
        <v>347</v>
      </c>
      <c r="G31" s="100">
        <v>8980265.4600000009</v>
      </c>
      <c r="H31" s="100">
        <v>0</v>
      </c>
      <c r="I31" s="82">
        <f t="shared" si="13"/>
        <v>8980265.4600000009</v>
      </c>
      <c r="J31" s="83">
        <v>45989</v>
      </c>
      <c r="K31" s="134">
        <f ca="1">WEEKNUM(TODAY())</f>
        <v>2</v>
      </c>
      <c r="L31" s="134" t="s">
        <v>329</v>
      </c>
      <c r="M31" s="135" t="str">
        <f t="shared" si="14"/>
        <v>CXC</v>
      </c>
      <c r="N31" s="81">
        <f t="shared" si="15"/>
        <v>8054049.7399103148</v>
      </c>
      <c r="O31" s="101">
        <f t="shared" ref="O31:O37" si="16">N31/1.16</f>
        <v>6943146.3275088929</v>
      </c>
      <c r="P31" s="134">
        <f>_xlfn.XLOOKUP(E31,'Total Doi'!B:B,'Total Doi'!F:F,1.12,FALSE)</f>
        <v>1.115</v>
      </c>
      <c r="Q31" s="81">
        <f t="shared" ref="Q31:Q35" si="17">IF(B31="ALVAR CONDOS",(G31*0.05)*-1,0)</f>
        <v>0</v>
      </c>
      <c r="R31" s="81">
        <f t="shared" ref="R31:R35" si="18">IF(B31="ALVAR CONDOS",H31*0.05*-1,0)</f>
        <v>0</v>
      </c>
    </row>
    <row r="32" spans="1:18" ht="12.6" customHeight="1" x14ac:dyDescent="0.25">
      <c r="A32" s="53"/>
      <c r="B32" s="78" t="str">
        <f>IFERROR(VLOOKUP($E32,'Total Doi'!$B$3:$E$100,4,FALSE),"")</f>
        <v>ALVAR</v>
      </c>
      <c r="C32" s="79" t="s">
        <v>230</v>
      </c>
      <c r="D32" s="79" t="s">
        <v>424</v>
      </c>
      <c r="E32" s="79" t="s">
        <v>50</v>
      </c>
      <c r="F32" s="80" t="s">
        <v>425</v>
      </c>
      <c r="G32" s="81">
        <v>582660.6</v>
      </c>
      <c r="H32" s="81">
        <v>0</v>
      </c>
      <c r="I32" s="82">
        <f t="shared" si="13"/>
        <v>582660.6</v>
      </c>
      <c r="J32" s="83">
        <v>45989</v>
      </c>
      <c r="K32" s="134">
        <v>48</v>
      </c>
      <c r="L32" s="134" t="s">
        <v>423</v>
      </c>
      <c r="M32" s="135" t="str">
        <f t="shared" si="14"/>
        <v>CXC</v>
      </c>
      <c r="N32" s="81">
        <f t="shared" si="15"/>
        <v>511105.78947368416</v>
      </c>
      <c r="O32" s="101">
        <f t="shared" si="16"/>
        <v>440608.4392014519</v>
      </c>
      <c r="P32" s="134">
        <f>_xlfn.XLOOKUP(E32,'Total Doi'!B:B,'Total Doi'!F:F,1.12,FALSE)</f>
        <v>1.1400000000000001</v>
      </c>
      <c r="Q32" s="81">
        <f t="shared" si="17"/>
        <v>0</v>
      </c>
      <c r="R32" s="81">
        <f t="shared" si="18"/>
        <v>0</v>
      </c>
    </row>
    <row r="33" spans="1:19" ht="12.6" customHeight="1" x14ac:dyDescent="0.25">
      <c r="A33" s="53"/>
      <c r="B33" s="78" t="str">
        <f>IFERROR(VLOOKUP($E33,'Total Doi'!$B$3:$E$100,4,FALSE),"")</f>
        <v>ALVAR</v>
      </c>
      <c r="C33" s="79" t="s">
        <v>230</v>
      </c>
      <c r="D33" s="79" t="s">
        <v>426</v>
      </c>
      <c r="E33" s="79" t="s">
        <v>51</v>
      </c>
      <c r="F33" s="80" t="s">
        <v>427</v>
      </c>
      <c r="G33" s="81">
        <v>153915.10999999999</v>
      </c>
      <c r="H33" s="81">
        <v>0</v>
      </c>
      <c r="I33" s="82">
        <f t="shared" si="13"/>
        <v>153915.10999999999</v>
      </c>
      <c r="J33" s="83">
        <v>45989</v>
      </c>
      <c r="K33" s="134">
        <v>48</v>
      </c>
      <c r="L33" s="134" t="s">
        <v>423</v>
      </c>
      <c r="M33" s="135" t="str">
        <f t="shared" si="14"/>
        <v>CXC</v>
      </c>
      <c r="N33" s="81">
        <f t="shared" si="15"/>
        <v>135013.25438596489</v>
      </c>
      <c r="O33" s="101">
        <f t="shared" ref="O33:O34" si="19">N33/1.16</f>
        <v>116390.73653962491</v>
      </c>
      <c r="P33" s="134">
        <f>_xlfn.XLOOKUP(E33,'Total Doi'!B:B,'Total Doi'!F:F,1.12,FALSE)</f>
        <v>1.1400000000000001</v>
      </c>
      <c r="Q33" s="81">
        <f t="shared" si="17"/>
        <v>0</v>
      </c>
      <c r="R33" s="81">
        <f t="shared" si="18"/>
        <v>0</v>
      </c>
    </row>
    <row r="34" spans="1:19" ht="12.6" customHeight="1" x14ac:dyDescent="0.25">
      <c r="A34" s="53"/>
      <c r="B34" s="78" t="str">
        <f>IFERROR(VLOOKUP($E34,'Total Doi'!$B$3:$E$100,4,FALSE),"")</f>
        <v>ALVAR</v>
      </c>
      <c r="C34" s="79" t="s">
        <v>230</v>
      </c>
      <c r="D34" s="79" t="s">
        <v>428</v>
      </c>
      <c r="E34" s="79" t="s">
        <v>52</v>
      </c>
      <c r="F34" s="80" t="s">
        <v>429</v>
      </c>
      <c r="G34" s="81">
        <v>232223.94</v>
      </c>
      <c r="H34" s="81">
        <v>0</v>
      </c>
      <c r="I34" s="82">
        <f t="shared" si="13"/>
        <v>232223.94</v>
      </c>
      <c r="J34" s="83">
        <v>45989</v>
      </c>
      <c r="K34" s="134">
        <v>48</v>
      </c>
      <c r="L34" s="134" t="s">
        <v>423</v>
      </c>
      <c r="M34" s="135" t="str">
        <f t="shared" si="14"/>
        <v>CXC</v>
      </c>
      <c r="N34" s="81">
        <f t="shared" si="15"/>
        <v>203705.21052631576</v>
      </c>
      <c r="O34" s="101">
        <f t="shared" si="19"/>
        <v>175607.94010889292</v>
      </c>
      <c r="P34" s="134">
        <f>_xlfn.XLOOKUP(E34,'Total Doi'!B:B,'Total Doi'!F:F,1.12,FALSE)</f>
        <v>1.1400000000000001</v>
      </c>
      <c r="Q34" s="81">
        <f t="shared" si="17"/>
        <v>0</v>
      </c>
      <c r="R34" s="81">
        <f t="shared" si="18"/>
        <v>0</v>
      </c>
    </row>
    <row r="35" spans="1:19" ht="12.6" customHeight="1" x14ac:dyDescent="0.25">
      <c r="A35" s="53"/>
      <c r="B35" s="78" t="str">
        <f>IFERROR(VLOOKUP($E35,'Total Doi'!$B$3:$E$100,4,FALSE),"")</f>
        <v>ALVAR CONDOS</v>
      </c>
      <c r="C35" s="79" t="s">
        <v>230</v>
      </c>
      <c r="D35" s="79" t="s">
        <v>430</v>
      </c>
      <c r="E35" s="79" t="s">
        <v>65</v>
      </c>
      <c r="F35" s="80" t="s">
        <v>431</v>
      </c>
      <c r="G35" s="81">
        <v>428581.15</v>
      </c>
      <c r="H35" s="81">
        <v>0</v>
      </c>
      <c r="I35" s="82">
        <f t="shared" si="13"/>
        <v>428581.15</v>
      </c>
      <c r="J35" s="83">
        <v>45989</v>
      </c>
      <c r="K35" s="134">
        <v>48</v>
      </c>
      <c r="L35" s="134" t="s">
        <v>423</v>
      </c>
      <c r="M35" s="135" t="str">
        <f t="shared" si="14"/>
        <v>CXC</v>
      </c>
      <c r="N35" s="81">
        <f t="shared" ref="N35:N37" si="20">IFERROR($I35/P35,0)</f>
        <v>384377.71300448431</v>
      </c>
      <c r="O35" s="101">
        <f t="shared" si="16"/>
        <v>331360.09741765889</v>
      </c>
      <c r="P35" s="134">
        <f>_xlfn.XLOOKUP(E35,'Total Doi'!B:B,'Total Doi'!F:F,1.12,FALSE)</f>
        <v>1.115</v>
      </c>
      <c r="Q35" s="81">
        <f t="shared" si="17"/>
        <v>-21429.057500000003</v>
      </c>
      <c r="R35" s="81">
        <f t="shared" si="18"/>
        <v>0</v>
      </c>
    </row>
    <row r="36" spans="1:19" ht="12.6" customHeight="1" x14ac:dyDescent="0.25">
      <c r="A36" s="53"/>
      <c r="B36" s="78" t="str">
        <f>IFERROR(VLOOKUP($E36,'Total Doi'!$B$3:$E$100,4,FALSE),"")</f>
        <v>ALVAR CONDOS</v>
      </c>
      <c r="C36" s="79" t="s">
        <v>230</v>
      </c>
      <c r="D36" s="79" t="s">
        <v>432</v>
      </c>
      <c r="E36" s="79" t="s">
        <v>65</v>
      </c>
      <c r="F36" s="80" t="s">
        <v>433</v>
      </c>
      <c r="G36" s="81">
        <v>37153.050000000003</v>
      </c>
      <c r="H36" s="81">
        <v>0</v>
      </c>
      <c r="I36" s="82">
        <f t="shared" si="13"/>
        <v>37153.050000000003</v>
      </c>
      <c r="J36" s="83">
        <v>45989</v>
      </c>
      <c r="K36" s="134">
        <v>48</v>
      </c>
      <c r="L36" s="134" t="s">
        <v>423</v>
      </c>
      <c r="M36" s="135" t="str">
        <f t="shared" si="14"/>
        <v>CXC</v>
      </c>
      <c r="N36" s="81">
        <f t="shared" si="20"/>
        <v>33321.12107623319</v>
      </c>
      <c r="O36" s="101">
        <f t="shared" si="16"/>
        <v>28725.104376063096</v>
      </c>
      <c r="P36" s="134">
        <f>_xlfn.XLOOKUP(E36,'Total Doi'!B:B,'Total Doi'!F:F,1.12,FALSE)</f>
        <v>1.115</v>
      </c>
      <c r="Q36" s="81">
        <f>IF(B36="ALVAR CONDOS",(G36*0.05)*-1,0)</f>
        <v>-1857.6525000000001</v>
      </c>
      <c r="R36" s="81">
        <f>IF(B36="ALVAR CONDOS",H36*0.05*-1,0)</f>
        <v>0</v>
      </c>
    </row>
    <row r="37" spans="1:19" ht="12.6" customHeight="1" x14ac:dyDescent="0.25">
      <c r="A37" s="53"/>
      <c r="B37" s="78" t="str">
        <f>IFERROR(VLOOKUP($E37,'Total Doi'!$B$3:$E$100,4,FALSE),"")</f>
        <v>ALVAR CONDOS</v>
      </c>
      <c r="C37" s="79" t="s">
        <v>230</v>
      </c>
      <c r="D37" s="79" t="s">
        <v>434</v>
      </c>
      <c r="E37" s="79" t="s">
        <v>65</v>
      </c>
      <c r="F37" s="80" t="s">
        <v>435</v>
      </c>
      <c r="G37" s="81">
        <v>104714.6</v>
      </c>
      <c r="H37" s="81">
        <v>0</v>
      </c>
      <c r="I37" s="82">
        <f t="shared" si="13"/>
        <v>104714.6</v>
      </c>
      <c r="J37" s="83">
        <v>45989</v>
      </c>
      <c r="K37" s="134">
        <v>48</v>
      </c>
      <c r="L37" s="134" t="s">
        <v>423</v>
      </c>
      <c r="M37" s="135" t="str">
        <f t="shared" si="14"/>
        <v>CXC</v>
      </c>
      <c r="N37" s="81">
        <f t="shared" si="20"/>
        <v>93914.439461883419</v>
      </c>
      <c r="O37" s="101">
        <f t="shared" si="16"/>
        <v>80960.723674037436</v>
      </c>
      <c r="P37" s="134">
        <f>_xlfn.XLOOKUP(E37,'Total Doi'!B:B,'Total Doi'!F:F,1.12,FALSE)</f>
        <v>1.115</v>
      </c>
      <c r="Q37" s="81">
        <f t="shared" ref="Q37" si="21">IF(B37="ALVAR CONDOS",(G37*0.05)*-1,0)</f>
        <v>-5235.7300000000005</v>
      </c>
      <c r="R37" s="81">
        <f t="shared" ref="R37" si="22">IF(B37="ALVAR CONDOS",H37*0.05*-1,0)</f>
        <v>0</v>
      </c>
    </row>
    <row r="38" spans="1:19" ht="12.6" customHeight="1" x14ac:dyDescent="0.25">
      <c r="A38" s="53"/>
      <c r="B38" s="53"/>
      <c r="C38" s="91"/>
      <c r="D38" s="92"/>
      <c r="E38" s="93"/>
      <c r="F38" s="93" t="s">
        <v>231</v>
      </c>
      <c r="G38" s="97">
        <f>SUBTOTAL(9,G17:G37)</f>
        <v>13273602.130000001</v>
      </c>
      <c r="H38" s="97">
        <f>SUBTOTAL(9,H17:H37)</f>
        <v>0</v>
      </c>
      <c r="I38" s="97">
        <f>SUBTOTAL(9,I17:I37)</f>
        <v>13273602.130000001</v>
      </c>
      <c r="J38" s="95"/>
      <c r="K38" s="136" t="s">
        <v>232</v>
      </c>
      <c r="L38" s="137" t="s">
        <v>233</v>
      </c>
      <c r="M38" s="137"/>
      <c r="N38" s="121">
        <f>SUBTOTAL(9,N17:N37)</f>
        <v>11874582.989779403</v>
      </c>
      <c r="O38" s="97">
        <f>SUBTOTAL(9,O17:O37)</f>
        <v>10236709.47394776</v>
      </c>
      <c r="P38" s="136"/>
      <c r="Q38" s="97">
        <f>SUBTOTAL(9,Q17:Q37)</f>
        <v>-103932.44549999999</v>
      </c>
      <c r="R38" s="97">
        <f>SUBTOTAL(9,R17:R37)</f>
        <v>0</v>
      </c>
      <c r="S38" s="150">
        <f>N38+Q38+(R38*20)</f>
        <v>11770650.544279404</v>
      </c>
    </row>
    <row r="39" spans="1:19" ht="12.6" customHeight="1" x14ac:dyDescent="0.25">
      <c r="A39" s="53"/>
      <c r="B39" s="53"/>
      <c r="C39" s="71" t="s">
        <v>3</v>
      </c>
      <c r="D39" s="64"/>
      <c r="E39" s="64"/>
      <c r="F39" s="64"/>
      <c r="G39" s="65"/>
      <c r="H39" s="65"/>
      <c r="I39" s="65"/>
      <c r="J39" s="72"/>
      <c r="K39" s="132" t="s">
        <v>232</v>
      </c>
      <c r="L39" s="133" t="s">
        <v>227</v>
      </c>
      <c r="M39" s="133"/>
      <c r="N39" s="65"/>
      <c r="P39" s="132"/>
      <c r="Q39" s="65"/>
      <c r="R39" s="65">
        <f>R38*20</f>
        <v>0</v>
      </c>
    </row>
    <row r="40" spans="1:19" ht="12.6" customHeight="1" x14ac:dyDescent="0.25">
      <c r="A40" s="53"/>
      <c r="B40" s="45" t="s">
        <v>228</v>
      </c>
      <c r="C40" s="46" t="s">
        <v>213</v>
      </c>
      <c r="D40" s="47" t="s">
        <v>214</v>
      </c>
      <c r="E40" s="47" t="s">
        <v>215</v>
      </c>
      <c r="F40" s="47" t="s">
        <v>216</v>
      </c>
      <c r="G40" s="48" t="s">
        <v>217</v>
      </c>
      <c r="H40" s="48" t="s">
        <v>218</v>
      </c>
      <c r="I40" s="48" t="s">
        <v>219</v>
      </c>
      <c r="J40" s="49" t="s">
        <v>229</v>
      </c>
      <c r="K40" s="96" t="s">
        <v>232</v>
      </c>
      <c r="L40" s="45" t="str">
        <f>J40</f>
        <v>* Fecha Factura</v>
      </c>
      <c r="M40" s="45" t="str">
        <f>IF(H40=0,"CXC","CXC USD")</f>
        <v>CXC USD</v>
      </c>
      <c r="N40" s="48" t="s">
        <v>222</v>
      </c>
      <c r="O40" s="48" t="s">
        <v>223</v>
      </c>
      <c r="P40" s="96"/>
      <c r="Q40" s="48" t="s">
        <v>304</v>
      </c>
      <c r="R40" s="48" t="s">
        <v>305</v>
      </c>
    </row>
    <row r="41" spans="1:19" ht="12.6" customHeight="1" x14ac:dyDescent="0.25">
      <c r="A41" s="53"/>
      <c r="B41" s="78" t="str">
        <f>IFERROR(VLOOKUP($E41,'Total Doi'!$B$3:$E$100,4,FALSE),"")</f>
        <v/>
      </c>
      <c r="C41" s="98" t="s">
        <v>240</v>
      </c>
      <c r="D41" s="98" t="s">
        <v>247</v>
      </c>
      <c r="E41" s="98" t="s">
        <v>79</v>
      </c>
      <c r="F41" s="99" t="s">
        <v>344</v>
      </c>
      <c r="G41" s="100">
        <v>97827.38</v>
      </c>
      <c r="H41" s="100">
        <v>0</v>
      </c>
      <c r="I41" s="82">
        <f t="shared" ref="I41:I47" si="23">G41+(H41*$K$2)</f>
        <v>97827.38</v>
      </c>
      <c r="J41" s="83">
        <v>45961</v>
      </c>
      <c r="K41" s="134">
        <v>44</v>
      </c>
      <c r="L41" s="134" t="s">
        <v>329</v>
      </c>
      <c r="M41" s="135" t="str">
        <f t="shared" ref="M41:M44" si="24">IF(H41=0,"CXC","CXC USD")</f>
        <v>CXC</v>
      </c>
      <c r="N41" s="81">
        <f t="shared" ref="N41:N44" si="25">IFERROR($I41/P41,0)</f>
        <v>87345.875</v>
      </c>
      <c r="O41" s="101">
        <f t="shared" ref="O41:O44" si="26">N41/1.16</f>
        <v>75298.168103448275</v>
      </c>
      <c r="P41" s="134">
        <f>_xlfn.XLOOKUP(E41,'Total Doi'!B:B,'Total Doi'!F:F,1.12,FALSE)</f>
        <v>1.1200000000000001</v>
      </c>
      <c r="Q41" s="81">
        <f t="shared" ref="Q41:R47" si="27">(G41*0.05)*-1</f>
        <v>-4891.3690000000006</v>
      </c>
      <c r="R41" s="81">
        <f t="shared" si="27"/>
        <v>0</v>
      </c>
    </row>
    <row r="42" spans="1:19" ht="12.6" customHeight="1" x14ac:dyDescent="0.25">
      <c r="A42" s="53"/>
      <c r="B42" s="78" t="str">
        <f>IFERROR(VLOOKUP($E42,'Total Doi'!$B$3:$E$100,4,FALSE),"")</f>
        <v>TRAMONTI PARADISO</v>
      </c>
      <c r="C42" s="79" t="s">
        <v>240</v>
      </c>
      <c r="D42" s="79" t="s">
        <v>352</v>
      </c>
      <c r="E42" s="79" t="s">
        <v>353</v>
      </c>
      <c r="F42" s="80" t="s">
        <v>385</v>
      </c>
      <c r="G42" s="81">
        <f>9443943.99-1500000</f>
        <v>7943943.9900000002</v>
      </c>
      <c r="H42" s="81">
        <v>0</v>
      </c>
      <c r="I42" s="82">
        <f t="shared" si="23"/>
        <v>7943943.9900000002</v>
      </c>
      <c r="J42" s="83">
        <v>45973</v>
      </c>
      <c r="K42" s="134">
        <v>46</v>
      </c>
      <c r="L42" s="134" t="s">
        <v>351</v>
      </c>
      <c r="M42" s="135" t="str">
        <f t="shared" ref="M42:M43" si="28">IF(H42=0,"CXC","CXC USD")</f>
        <v>CXC</v>
      </c>
      <c r="N42" s="81">
        <f t="shared" ref="N42:N43" si="29">IFERROR($I42/P42,0)</f>
        <v>6968371.921052631</v>
      </c>
      <c r="O42" s="101">
        <f t="shared" ref="O42:O43" si="30">N42/1.16</f>
        <v>6007217.1733212341</v>
      </c>
      <c r="P42" s="134">
        <f>_xlfn.XLOOKUP(E42,'Total Doi'!B:B,'Total Doi'!F:F,1.12,FALSE)</f>
        <v>1.1400000000000001</v>
      </c>
      <c r="Q42" s="81">
        <f t="shared" ref="Q42:Q43" si="31">(G42*0.05)*-1</f>
        <v>-397197.19950000005</v>
      </c>
      <c r="R42" s="81">
        <f t="shared" ref="R42:R43" si="32">(H42*0.05)*-1</f>
        <v>0</v>
      </c>
    </row>
    <row r="43" spans="1:19" ht="12.6" customHeight="1" x14ac:dyDescent="0.25">
      <c r="A43" s="53"/>
      <c r="B43" s="78" t="str">
        <f>IFERROR(VLOOKUP($E43,'Total Doi'!$B$3:$E$100,4,FALSE),"")</f>
        <v>TRAMONTI PARADISO</v>
      </c>
      <c r="C43" s="98" t="s">
        <v>240</v>
      </c>
      <c r="D43" s="98" t="s">
        <v>355</v>
      </c>
      <c r="E43" s="98" t="s">
        <v>22</v>
      </c>
      <c r="F43" s="99" t="s">
        <v>354</v>
      </c>
      <c r="G43" s="100">
        <v>1254212.97</v>
      </c>
      <c r="H43" s="100">
        <v>0</v>
      </c>
      <c r="I43" s="82">
        <f t="shared" si="23"/>
        <v>1254212.97</v>
      </c>
      <c r="J43" s="83">
        <v>45975</v>
      </c>
      <c r="K43" s="134">
        <v>46</v>
      </c>
      <c r="L43" s="134" t="s">
        <v>329</v>
      </c>
      <c r="M43" s="135" t="str">
        <f t="shared" si="28"/>
        <v>CXC</v>
      </c>
      <c r="N43" s="81">
        <f t="shared" si="29"/>
        <v>1100186.8157894735</v>
      </c>
      <c r="O43" s="101">
        <f t="shared" si="30"/>
        <v>948436.91016333923</v>
      </c>
      <c r="P43" s="134">
        <f>_xlfn.XLOOKUP(E43,'Total Doi'!B:B,'Total Doi'!F:F,1.12,FALSE)</f>
        <v>1.1400000000000001</v>
      </c>
      <c r="Q43" s="81">
        <f t="shared" si="31"/>
        <v>-62710.648500000003</v>
      </c>
      <c r="R43" s="81">
        <f t="shared" si="32"/>
        <v>0</v>
      </c>
    </row>
    <row r="44" spans="1:19" ht="12.6" customHeight="1" x14ac:dyDescent="0.25">
      <c r="A44" s="53"/>
      <c r="B44" s="78" t="str">
        <f>IFERROR(VLOOKUP($E44,'Total Doi'!$B$3:$E$100,4,FALSE),"")</f>
        <v>TRAMONTI PARADISO</v>
      </c>
      <c r="C44" s="79" t="s">
        <v>240</v>
      </c>
      <c r="D44" s="79" t="s">
        <v>400</v>
      </c>
      <c r="E44" s="79" t="s">
        <v>26</v>
      </c>
      <c r="F44" s="80" t="s">
        <v>401</v>
      </c>
      <c r="G44" s="81">
        <v>351163.15</v>
      </c>
      <c r="H44" s="81">
        <v>0</v>
      </c>
      <c r="I44" s="82">
        <f t="shared" si="23"/>
        <v>351163.15</v>
      </c>
      <c r="J44" s="83">
        <v>45982</v>
      </c>
      <c r="K44" s="134">
        <v>47</v>
      </c>
      <c r="L44" s="134" t="s">
        <v>384</v>
      </c>
      <c r="M44" s="135" t="str">
        <f t="shared" si="24"/>
        <v>CXC</v>
      </c>
      <c r="N44" s="81">
        <f t="shared" si="25"/>
        <v>308037.85087719298</v>
      </c>
      <c r="O44" s="101">
        <f t="shared" si="26"/>
        <v>265549.87144585606</v>
      </c>
      <c r="P44" s="134">
        <f>_xlfn.XLOOKUP(E44,'Total Doi'!B:B,'Total Doi'!F:F,1.12,FALSE)</f>
        <v>1.1400000000000001</v>
      </c>
      <c r="Q44" s="81">
        <f t="shared" si="27"/>
        <v>-17558.157500000001</v>
      </c>
      <c r="R44" s="81">
        <f t="shared" si="27"/>
        <v>0</v>
      </c>
    </row>
    <row r="45" spans="1:19" ht="12.6" customHeight="1" x14ac:dyDescent="0.25">
      <c r="A45" s="53"/>
      <c r="B45" s="78" t="str">
        <f>IFERROR(VLOOKUP($E45,'Total Doi'!$B$3:$E$100,4,FALSE),"")</f>
        <v>TRAMONTI PARADISO</v>
      </c>
      <c r="C45" s="79" t="s">
        <v>240</v>
      </c>
      <c r="D45" s="79" t="s">
        <v>402</v>
      </c>
      <c r="E45" s="79" t="s">
        <v>22</v>
      </c>
      <c r="F45" s="80" t="s">
        <v>403</v>
      </c>
      <c r="G45" s="81">
        <v>711265.95</v>
      </c>
      <c r="H45" s="81">
        <v>0</v>
      </c>
      <c r="I45" s="82">
        <f t="shared" si="23"/>
        <v>711265.95</v>
      </c>
      <c r="J45" s="83">
        <v>45982</v>
      </c>
      <c r="K45" s="134">
        <v>47</v>
      </c>
      <c r="L45" s="134" t="s">
        <v>384</v>
      </c>
      <c r="M45" s="135" t="str">
        <f t="shared" ref="M45:M47" si="33">IF(H45=0,"CXC","CXC USD")</f>
        <v>CXC</v>
      </c>
      <c r="N45" s="81">
        <f t="shared" ref="N45:N47" si="34">IFERROR($I45/P45,0)</f>
        <v>623917.49999999988</v>
      </c>
      <c r="O45" s="101">
        <f t="shared" ref="O45:O47" si="35">N45/1.16</f>
        <v>537859.91379310342</v>
      </c>
      <c r="P45" s="134">
        <f>_xlfn.XLOOKUP(E45,'Total Doi'!B:B,'Total Doi'!F:F,1.12,FALSE)</f>
        <v>1.1400000000000001</v>
      </c>
      <c r="Q45" s="81">
        <f t="shared" ref="Q45:Q47" si="36">(G45*0.05)*-1</f>
        <v>-35563.297500000001</v>
      </c>
      <c r="R45" s="81">
        <f t="shared" si="27"/>
        <v>0</v>
      </c>
    </row>
    <row r="46" spans="1:19" ht="12.6" customHeight="1" x14ac:dyDescent="0.25">
      <c r="A46" s="53"/>
      <c r="B46" s="78" t="str">
        <f>IFERROR(VLOOKUP($E46,'Total Doi'!$B$3:$E$100,4,FALSE),"")</f>
        <v>TRAMONTI PARADISO</v>
      </c>
      <c r="C46" s="79" t="s">
        <v>240</v>
      </c>
      <c r="D46" s="79" t="s">
        <v>404</v>
      </c>
      <c r="E46" s="79" t="s">
        <v>20</v>
      </c>
      <c r="F46" s="80" t="s">
        <v>405</v>
      </c>
      <c r="G46" s="81">
        <v>115897.45</v>
      </c>
      <c r="H46" s="81">
        <v>0</v>
      </c>
      <c r="I46" s="82">
        <f t="shared" si="23"/>
        <v>115897.45</v>
      </c>
      <c r="J46" s="83">
        <v>45982</v>
      </c>
      <c r="K46" s="134">
        <v>47</v>
      </c>
      <c r="L46" s="134" t="s">
        <v>384</v>
      </c>
      <c r="M46" s="135" t="str">
        <f t="shared" si="33"/>
        <v>CXC</v>
      </c>
      <c r="N46" s="81">
        <f t="shared" si="34"/>
        <v>101664.42982456139</v>
      </c>
      <c r="O46" s="101">
        <f t="shared" si="35"/>
        <v>87641.74984875982</v>
      </c>
      <c r="P46" s="134">
        <f>_xlfn.XLOOKUP(E46,'Total Doi'!B:B,'Total Doi'!F:F,1.12,FALSE)</f>
        <v>1.1400000000000001</v>
      </c>
      <c r="Q46" s="81">
        <f t="shared" si="36"/>
        <v>-5794.8725000000004</v>
      </c>
      <c r="R46" s="81">
        <f t="shared" si="27"/>
        <v>0</v>
      </c>
    </row>
    <row r="47" spans="1:19" ht="12.6" customHeight="1" x14ac:dyDescent="0.25">
      <c r="A47" s="53"/>
      <c r="B47" s="78" t="str">
        <f>IFERROR(VLOOKUP($E47,'Total Doi'!$B$3:$E$100,4,FALSE),"")</f>
        <v>TRAMONTI PARADISO</v>
      </c>
      <c r="C47" s="79" t="s">
        <v>240</v>
      </c>
      <c r="D47" s="79" t="s">
        <v>421</v>
      </c>
      <c r="E47" s="79" t="s">
        <v>22</v>
      </c>
      <c r="F47" s="80" t="s">
        <v>422</v>
      </c>
      <c r="G47" s="81">
        <v>1275481.4099999999</v>
      </c>
      <c r="H47" s="81">
        <v>0</v>
      </c>
      <c r="I47" s="82">
        <f t="shared" si="23"/>
        <v>1275481.4099999999</v>
      </c>
      <c r="J47" s="83">
        <v>45989</v>
      </c>
      <c r="K47" s="134">
        <v>48</v>
      </c>
      <c r="L47" s="134" t="s">
        <v>423</v>
      </c>
      <c r="M47" s="135" t="str">
        <f t="shared" si="33"/>
        <v>CXC</v>
      </c>
      <c r="N47" s="81">
        <f t="shared" si="34"/>
        <v>1118843.3421052629</v>
      </c>
      <c r="O47" s="101">
        <f t="shared" si="35"/>
        <v>964520.12250453711</v>
      </c>
      <c r="P47" s="134">
        <f>_xlfn.XLOOKUP(E47,'Total Doi'!B:B,'Total Doi'!F:F,1.12,FALSE)</f>
        <v>1.1400000000000001</v>
      </c>
      <c r="Q47" s="81">
        <f t="shared" si="36"/>
        <v>-63774.070500000002</v>
      </c>
      <c r="R47" s="81">
        <f t="shared" si="27"/>
        <v>0</v>
      </c>
    </row>
    <row r="48" spans="1:19" ht="12.6" customHeight="1" x14ac:dyDescent="0.25">
      <c r="A48" s="53"/>
      <c r="B48" s="53"/>
      <c r="C48" s="91"/>
      <c r="D48" s="92"/>
      <c r="E48" s="93"/>
      <c r="F48" s="93" t="s">
        <v>231</v>
      </c>
      <c r="G48" s="97">
        <f>SUBTOTAL(9,G41:G47)</f>
        <v>11749792.299999999</v>
      </c>
      <c r="H48" s="97">
        <f>SUBTOTAL(9,H41:H47)</f>
        <v>0</v>
      </c>
      <c r="I48" s="97">
        <f>SUBTOTAL(9,I41:I47)</f>
        <v>11749792.299999999</v>
      </c>
      <c r="J48" s="95"/>
      <c r="K48" s="136" t="s">
        <v>232</v>
      </c>
      <c r="L48" s="137" t="s">
        <v>233</v>
      </c>
      <c r="M48" s="137"/>
      <c r="N48" s="121">
        <f>SUBTOTAL(9,N41:N47)</f>
        <v>10308367.734649122</v>
      </c>
      <c r="O48" s="97">
        <f>SUBTOTAL(9,O41:O47)</f>
        <v>8886523.909180278</v>
      </c>
      <c r="P48" s="136"/>
      <c r="Q48" s="97">
        <f>SUBTOTAL(9,Q41:Q47)</f>
        <v>-587489.61499999999</v>
      </c>
      <c r="R48" s="97">
        <f>SUBTOTAL(9,R41:R47)</f>
        <v>0</v>
      </c>
      <c r="S48" s="150">
        <f>N48+Q48+(R48*20)</f>
        <v>9720878.1196491215</v>
      </c>
    </row>
    <row r="49" spans="1:18" ht="12.6" customHeight="1" x14ac:dyDescent="0.25">
      <c r="A49" s="53"/>
      <c r="B49" s="53"/>
      <c r="C49" s="71" t="s">
        <v>290</v>
      </c>
      <c r="D49" s="64"/>
      <c r="E49" s="64"/>
      <c r="F49" s="64"/>
      <c r="G49" s="65"/>
      <c r="H49" s="65"/>
      <c r="I49" s="65"/>
      <c r="J49" s="72"/>
      <c r="K49" s="132" t="s">
        <v>241</v>
      </c>
      <c r="L49" s="133" t="s">
        <v>227</v>
      </c>
      <c r="M49" s="133"/>
      <c r="N49" s="65"/>
      <c r="O49" s="61"/>
      <c r="P49" s="132"/>
      <c r="Q49" s="65"/>
      <c r="R49" s="65">
        <f>R48*20</f>
        <v>0</v>
      </c>
    </row>
    <row r="50" spans="1:18" ht="12.6" customHeight="1" x14ac:dyDescent="0.25">
      <c r="A50" s="53"/>
      <c r="B50" s="45" t="s">
        <v>228</v>
      </c>
      <c r="C50" s="46" t="s">
        <v>213</v>
      </c>
      <c r="D50" s="47" t="s">
        <v>214</v>
      </c>
      <c r="E50" s="47" t="s">
        <v>215</v>
      </c>
      <c r="F50" s="47" t="s">
        <v>216</v>
      </c>
      <c r="G50" s="48" t="s">
        <v>217</v>
      </c>
      <c r="H50" s="48" t="s">
        <v>218</v>
      </c>
      <c r="I50" s="48" t="s">
        <v>219</v>
      </c>
      <c r="J50" s="49" t="s">
        <v>229</v>
      </c>
      <c r="K50" s="96" t="s">
        <v>241</v>
      </c>
      <c r="L50" s="45" t="str">
        <f>J50</f>
        <v>* Fecha Factura</v>
      </c>
      <c r="M50" s="45" t="str">
        <f t="shared" ref="M50" si="37">IF(H50=0,"CXC","CXC USD")</f>
        <v>CXC USD</v>
      </c>
      <c r="N50" s="48" t="s">
        <v>222</v>
      </c>
      <c r="O50" s="48" t="s">
        <v>223</v>
      </c>
      <c r="P50" s="96"/>
      <c r="Q50" s="48" t="s">
        <v>304</v>
      </c>
      <c r="R50" s="48" t="s">
        <v>305</v>
      </c>
    </row>
    <row r="51" spans="1:18" ht="12.6" customHeight="1" x14ac:dyDescent="0.25">
      <c r="A51" s="53"/>
      <c r="B51" s="78" t="str">
        <f>IFERROR(VLOOKUP($E51,'Total Doi'!$B$3:$E$100,4,FALSE),"")</f>
        <v>SANTA PATRICIA VENTAS (CON IVA)</v>
      </c>
      <c r="C51" s="98" t="s">
        <v>457</v>
      </c>
      <c r="D51" s="98" t="s">
        <v>458</v>
      </c>
      <c r="E51" s="98" t="s">
        <v>288</v>
      </c>
      <c r="F51" s="99"/>
      <c r="G51" s="100">
        <v>200000</v>
      </c>
      <c r="H51" s="100">
        <v>0</v>
      </c>
      <c r="I51" s="82">
        <f>G51+(H51*$K$2)</f>
        <v>200000</v>
      </c>
      <c r="J51" s="83">
        <v>45989</v>
      </c>
      <c r="K51" s="134">
        <f t="shared" ref="K51:K52" ca="1" si="38">WEEKNUM(TODAY())</f>
        <v>2</v>
      </c>
      <c r="L51" s="134" t="s">
        <v>329</v>
      </c>
      <c r="M51" s="135" t="str">
        <f>IF(H51=0,"CXC","CXC USD")</f>
        <v>CXC</v>
      </c>
      <c r="N51" s="81">
        <f>IFERROR($I51/P51,0)</f>
        <v>200000</v>
      </c>
      <c r="O51" s="101">
        <f>N51</f>
        <v>200000</v>
      </c>
      <c r="P51" s="134">
        <v>1</v>
      </c>
      <c r="Q51" s="81"/>
      <c r="R51" s="81"/>
    </row>
    <row r="52" spans="1:18" ht="12.6" customHeight="1" x14ac:dyDescent="0.25">
      <c r="A52" s="53"/>
      <c r="B52" s="78" t="str">
        <f>IFERROR(VLOOKUP($E52,'Total Doi'!$B$3:$E$100,4,FALSE),"")</f>
        <v>SANTA PATRICIA VENTAS (CON IVA)</v>
      </c>
      <c r="C52" s="79" t="s">
        <v>459</v>
      </c>
      <c r="D52" s="79" t="s">
        <v>460</v>
      </c>
      <c r="E52" s="98" t="s">
        <v>288</v>
      </c>
      <c r="F52" s="80"/>
      <c r="G52" s="81">
        <v>400000</v>
      </c>
      <c r="H52" s="81">
        <v>0</v>
      </c>
      <c r="I52" s="82">
        <f t="shared" ref="I52" si="39">G52+(H52*$K$2)</f>
        <v>400000</v>
      </c>
      <c r="J52" s="83">
        <v>45989</v>
      </c>
      <c r="K52" s="134">
        <f t="shared" ca="1" si="38"/>
        <v>2</v>
      </c>
      <c r="L52" s="134" t="s">
        <v>329</v>
      </c>
      <c r="M52" s="135" t="str">
        <f t="shared" ref="M52" si="40">IF(H52=0,"CXC","CXC USD")</f>
        <v>CXC</v>
      </c>
      <c r="N52" s="81">
        <f t="shared" ref="N52" si="41">IFERROR($I52/P52,0)</f>
        <v>400000</v>
      </c>
      <c r="O52" s="101">
        <f t="shared" ref="O52" si="42">N52</f>
        <v>400000</v>
      </c>
      <c r="P52" s="134">
        <v>1</v>
      </c>
      <c r="Q52" s="81"/>
      <c r="R52" s="81"/>
    </row>
    <row r="53" spans="1:18" ht="12.6" customHeight="1" x14ac:dyDescent="0.25">
      <c r="A53" s="53"/>
      <c r="B53" s="53"/>
      <c r="C53" s="91"/>
      <c r="D53" s="92"/>
      <c r="E53" s="93"/>
      <c r="F53" s="93" t="s">
        <v>231</v>
      </c>
      <c r="G53" s="94">
        <f>SUBTOTAL(9,G51:G52)</f>
        <v>600000</v>
      </c>
      <c r="H53" s="94">
        <f>SUBTOTAL(9,H51:H52)</f>
        <v>0</v>
      </c>
      <c r="I53" s="94">
        <f>SUBTOTAL(9,I51:I52)</f>
        <v>600000</v>
      </c>
      <c r="J53" s="95"/>
      <c r="K53" s="136" t="s">
        <v>241</v>
      </c>
      <c r="L53" s="137" t="s">
        <v>233</v>
      </c>
      <c r="M53" s="137"/>
      <c r="N53" s="94">
        <f>SUBTOTAL(9,N51:N52)</f>
        <v>600000</v>
      </c>
      <c r="O53" s="97">
        <f>SUBTOTAL(9,O51:O52)</f>
        <v>600000</v>
      </c>
      <c r="P53" s="136"/>
      <c r="Q53" s="94"/>
      <c r="R53" s="94"/>
    </row>
    <row r="54" spans="1:18" ht="12.6" customHeight="1" x14ac:dyDescent="0.25">
      <c r="A54" s="53"/>
      <c r="B54" s="53"/>
      <c r="C54" s="71" t="s">
        <v>320</v>
      </c>
      <c r="D54" s="64"/>
      <c r="E54" s="64"/>
      <c r="F54" s="64"/>
      <c r="G54" s="65"/>
      <c r="H54" s="65"/>
      <c r="I54" s="65"/>
      <c r="J54" s="72"/>
      <c r="K54" s="132" t="s">
        <v>241</v>
      </c>
      <c r="L54" s="133" t="s">
        <v>227</v>
      </c>
      <c r="M54" s="133"/>
      <c r="N54" s="65"/>
      <c r="O54" s="61"/>
      <c r="P54" s="132"/>
      <c r="Q54" s="65"/>
      <c r="R54" s="65">
        <f>R53*20</f>
        <v>0</v>
      </c>
    </row>
    <row r="55" spans="1:18" ht="12.6" customHeight="1" x14ac:dyDescent="0.25">
      <c r="A55" s="53"/>
      <c r="B55" s="45" t="s">
        <v>228</v>
      </c>
      <c r="C55" s="46" t="s">
        <v>213</v>
      </c>
      <c r="D55" s="47" t="s">
        <v>214</v>
      </c>
      <c r="E55" s="47" t="s">
        <v>215</v>
      </c>
      <c r="F55" s="47" t="s">
        <v>216</v>
      </c>
      <c r="G55" s="48" t="s">
        <v>217</v>
      </c>
      <c r="H55" s="48" t="s">
        <v>218</v>
      </c>
      <c r="I55" s="48" t="s">
        <v>219</v>
      </c>
      <c r="J55" s="49" t="s">
        <v>229</v>
      </c>
      <c r="K55" s="96" t="s">
        <v>241</v>
      </c>
      <c r="L55" s="45" t="str">
        <f>J55</f>
        <v>* Fecha Factura</v>
      </c>
      <c r="M55" s="45" t="str">
        <f t="shared" ref="M55" si="43">IF(H55=0,"CXC","CXC USD")</f>
        <v>CXC USD</v>
      </c>
      <c r="N55" s="48" t="s">
        <v>222</v>
      </c>
      <c r="O55" s="48" t="s">
        <v>223</v>
      </c>
      <c r="P55" s="96"/>
      <c r="Q55" s="48" t="s">
        <v>304</v>
      </c>
      <c r="R55" s="48" t="s">
        <v>305</v>
      </c>
    </row>
    <row r="56" spans="1:18" ht="12.6" customHeight="1" x14ac:dyDescent="0.25">
      <c r="A56" s="53"/>
      <c r="B56" s="78" t="str">
        <f>IFERROR(VLOOKUP($E56,'Total Doi'!$B$3:$E$100,4,FALSE),"")</f>
        <v/>
      </c>
      <c r="C56" s="79" t="s">
        <v>444</v>
      </c>
      <c r="D56" s="79" t="s">
        <v>445</v>
      </c>
      <c r="E56" s="79" t="s">
        <v>331</v>
      </c>
      <c r="F56" s="80" t="s">
        <v>446</v>
      </c>
      <c r="G56" s="81">
        <v>2321152.7400000002</v>
      </c>
      <c r="H56" s="81">
        <v>0</v>
      </c>
      <c r="I56" s="82">
        <v>2321152.7400000002</v>
      </c>
      <c r="J56" s="83">
        <v>45986</v>
      </c>
      <c r="K56" s="134" t="s">
        <v>241</v>
      </c>
      <c r="L56" s="134" t="s">
        <v>423</v>
      </c>
      <c r="M56" s="135" t="str">
        <f>IF(H56=0,"CXC","CXC USD")</f>
        <v>CXC</v>
      </c>
      <c r="N56" s="81">
        <f>IFERROR($I56/P56,0)</f>
        <v>2321152.7400000002</v>
      </c>
      <c r="O56" s="101">
        <f>N56</f>
        <v>2321152.7400000002</v>
      </c>
      <c r="P56" s="134">
        <v>1</v>
      </c>
      <c r="Q56" s="81"/>
      <c r="R56" s="81"/>
    </row>
    <row r="57" spans="1:18" ht="12.6" customHeight="1" x14ac:dyDescent="0.25">
      <c r="A57" s="53"/>
      <c r="B57" s="53"/>
      <c r="C57" s="91"/>
      <c r="D57" s="92"/>
      <c r="E57" s="93"/>
      <c r="F57" s="93" t="s">
        <v>231</v>
      </c>
      <c r="G57" s="94">
        <f>SUBTOTAL(9,G56:G56)</f>
        <v>2321152.7400000002</v>
      </c>
      <c r="H57" s="94">
        <f>SUBTOTAL(9,H56:H56)</f>
        <v>0</v>
      </c>
      <c r="I57" s="94">
        <f>SUBTOTAL(9,I56:I56)</f>
        <v>2321152.7400000002</v>
      </c>
      <c r="J57" s="95"/>
      <c r="K57" s="136" t="s">
        <v>241</v>
      </c>
      <c r="L57" s="137" t="s">
        <v>233</v>
      </c>
      <c r="M57" s="137"/>
      <c r="N57" s="94">
        <f>SUBTOTAL(9,N56:N56)</f>
        <v>2321152.7400000002</v>
      </c>
      <c r="O57" s="97">
        <f>SUBTOTAL(9,O56:O56)</f>
        <v>2321152.7400000002</v>
      </c>
      <c r="P57" s="136"/>
      <c r="Q57" s="94"/>
      <c r="R57" s="94"/>
    </row>
    <row r="58" spans="1:18" ht="12.6" customHeight="1" x14ac:dyDescent="0.25">
      <c r="A58" s="53"/>
      <c r="B58" s="53"/>
      <c r="C58" s="71" t="s">
        <v>242</v>
      </c>
      <c r="D58" s="64"/>
      <c r="E58" s="64"/>
      <c r="F58" s="64"/>
      <c r="G58" s="65"/>
      <c r="H58" s="65"/>
      <c r="I58" s="65"/>
      <c r="J58" s="72"/>
      <c r="K58" s="132" t="s">
        <v>232</v>
      </c>
      <c r="L58" s="133" t="s">
        <v>227</v>
      </c>
      <c r="M58" s="133"/>
      <c r="N58" s="65"/>
      <c r="O58" s="132"/>
      <c r="P58" s="132"/>
      <c r="Q58" s="65"/>
      <c r="R58" s="65"/>
    </row>
    <row r="59" spans="1:18" ht="12.6" customHeight="1" x14ac:dyDescent="0.25">
      <c r="A59" s="53"/>
      <c r="B59" s="45" t="s">
        <v>228</v>
      </c>
      <c r="C59" s="46" t="s">
        <v>213</v>
      </c>
      <c r="D59" s="47" t="s">
        <v>214</v>
      </c>
      <c r="E59" s="47" t="s">
        <v>215</v>
      </c>
      <c r="F59" s="47" t="s">
        <v>216</v>
      </c>
      <c r="G59" s="48" t="s">
        <v>217</v>
      </c>
      <c r="H59" s="48" t="s">
        <v>218</v>
      </c>
      <c r="I59" s="48" t="s">
        <v>219</v>
      </c>
      <c r="J59" s="49" t="s">
        <v>229</v>
      </c>
      <c r="K59" s="96" t="s">
        <v>232</v>
      </c>
      <c r="L59" s="45" t="str">
        <f>J59</f>
        <v>* Fecha Factura</v>
      </c>
      <c r="M59" s="45" t="str">
        <f>IF(H59=0,"CXC","CXC USD")</f>
        <v>CXC USD</v>
      </c>
      <c r="N59" s="48" t="s">
        <v>222</v>
      </c>
      <c r="O59" s="48" t="s">
        <v>223</v>
      </c>
      <c r="P59" s="96"/>
      <c r="Q59" s="48" t="s">
        <v>304</v>
      </c>
      <c r="R59" s="48" t="s">
        <v>305</v>
      </c>
    </row>
    <row r="60" spans="1:18" ht="12.6" customHeight="1" x14ac:dyDescent="0.25">
      <c r="B60" s="78" t="str">
        <f>IFERROR(VLOOKUP($E60,'Total Doi'!$B$3:$E$100,4,FALSE),"")</f>
        <v/>
      </c>
      <c r="C60" s="79" t="s">
        <v>246</v>
      </c>
      <c r="D60" s="79" t="s">
        <v>248</v>
      </c>
      <c r="E60" s="79" t="s">
        <v>75</v>
      </c>
      <c r="F60" s="80" t="s">
        <v>249</v>
      </c>
      <c r="G60" s="81">
        <f>11073.58-4540</f>
        <v>6533.58</v>
      </c>
      <c r="H60" s="81">
        <v>0</v>
      </c>
      <c r="I60" s="82">
        <f t="shared" ref="I60" si="44">G60+(H60*$K$2)</f>
        <v>6533.58</v>
      </c>
      <c r="J60" s="83">
        <v>45546</v>
      </c>
      <c r="K60" s="134">
        <v>37</v>
      </c>
      <c r="L60" s="135" t="s">
        <v>342</v>
      </c>
      <c r="M60" s="135" t="str">
        <f t="shared" ref="M60" si="45">IF(H60=0,"CXC","CXC USD")</f>
        <v>CXC</v>
      </c>
      <c r="N60" s="81">
        <f t="shared" ref="N60" si="46">IFERROR($I60/P60,0)</f>
        <v>5833.5535714285706</v>
      </c>
      <c r="O60" s="101">
        <f t="shared" ref="O60" si="47">N60/1.16</f>
        <v>5028.925492610837</v>
      </c>
      <c r="P60" s="134">
        <f>_xlfn.XLOOKUP(E60,'Total Doi'!B:B,'Total Doi'!F:F,1.12,FALSE)</f>
        <v>1.1200000000000001</v>
      </c>
      <c r="Q60" s="81"/>
      <c r="R60" s="81"/>
    </row>
    <row r="61" spans="1:18" ht="12.6" customHeight="1" x14ac:dyDescent="0.25">
      <c r="B61" s="78" t="str">
        <f>IFERROR(VLOOKUP($E61,'Total Doi'!$B$3:$E$100,4,FALSE),"")</f>
        <v/>
      </c>
      <c r="C61" s="79" t="s">
        <v>230</v>
      </c>
      <c r="D61" s="79" t="s">
        <v>250</v>
      </c>
      <c r="E61" s="79" t="s">
        <v>76</v>
      </c>
      <c r="F61" s="80" t="s">
        <v>251</v>
      </c>
      <c r="G61" s="81">
        <v>7522.6</v>
      </c>
      <c r="H61" s="81">
        <v>0</v>
      </c>
      <c r="I61" s="82">
        <f t="shared" ref="I61:I64" si="48">G61+(H61*$K$2)</f>
        <v>7522.6</v>
      </c>
      <c r="J61" s="83">
        <v>45672</v>
      </c>
      <c r="K61" s="134">
        <v>3</v>
      </c>
      <c r="L61" s="135" t="s">
        <v>253</v>
      </c>
      <c r="M61" s="135" t="str">
        <f t="shared" ref="M61:M64" si="49">IF(H61=0,"CXC","CXC USD")</f>
        <v>CXC</v>
      </c>
      <c r="N61" s="81">
        <f t="shared" ref="N61:N64" si="50">IFERROR($I61/P61,0)</f>
        <v>6716.6071428571422</v>
      </c>
      <c r="O61" s="101">
        <f t="shared" ref="O61:O64" si="51">N61/1.16</f>
        <v>5790.1785714285716</v>
      </c>
      <c r="P61" s="134">
        <f>_xlfn.XLOOKUP(E61,'Total Doi'!B:B,'Total Doi'!F:F,1.12,FALSE)</f>
        <v>1.1200000000000001</v>
      </c>
      <c r="Q61" s="81"/>
      <c r="R61" s="81"/>
    </row>
    <row r="62" spans="1:18" ht="12.6" customHeight="1" x14ac:dyDescent="0.25">
      <c r="B62" s="78" t="str">
        <f>IFERROR(VLOOKUP($E62,'Total Doi'!$B$3:$E$100,4,FALSE),"")</f>
        <v/>
      </c>
      <c r="C62" s="79" t="s">
        <v>309</v>
      </c>
      <c r="D62" s="79" t="s">
        <v>311</v>
      </c>
      <c r="E62" s="79" t="s">
        <v>76</v>
      </c>
      <c r="F62" s="80" t="s">
        <v>310</v>
      </c>
      <c r="G62" s="81">
        <v>2534.6</v>
      </c>
      <c r="H62" s="81">
        <v>0</v>
      </c>
      <c r="I62" s="82">
        <f t="shared" si="48"/>
        <v>2534.6</v>
      </c>
      <c r="J62" s="83">
        <v>45821</v>
      </c>
      <c r="K62" s="134">
        <v>24</v>
      </c>
      <c r="L62" s="135" t="s">
        <v>281</v>
      </c>
      <c r="M62" s="135" t="str">
        <f t="shared" si="49"/>
        <v>CXC</v>
      </c>
      <c r="N62" s="81">
        <f t="shared" si="50"/>
        <v>2534.6</v>
      </c>
      <c r="O62" s="101">
        <f t="shared" si="51"/>
        <v>2185</v>
      </c>
      <c r="P62" s="134">
        <v>1</v>
      </c>
      <c r="Q62" s="81"/>
      <c r="R62" s="81"/>
    </row>
    <row r="63" spans="1:18" ht="12.6" customHeight="1" x14ac:dyDescent="0.25">
      <c r="B63" s="78" t="str">
        <f>IFERROR(VLOOKUP($E63,'Total Doi'!$B$3:$E$100,4,FALSE),"")</f>
        <v/>
      </c>
      <c r="C63" s="79" t="s">
        <v>309</v>
      </c>
      <c r="D63" s="79" t="s">
        <v>316</v>
      </c>
      <c r="E63" s="79" t="s">
        <v>76</v>
      </c>
      <c r="F63" s="80" t="s">
        <v>310</v>
      </c>
      <c r="G63" s="81">
        <v>2534.6</v>
      </c>
      <c r="H63" s="81">
        <v>0</v>
      </c>
      <c r="I63" s="82">
        <f t="shared" si="48"/>
        <v>2534.6</v>
      </c>
      <c r="J63" s="83">
        <v>45821</v>
      </c>
      <c r="K63" s="134">
        <v>24</v>
      </c>
      <c r="L63" s="135" t="s">
        <v>281</v>
      </c>
      <c r="M63" s="135" t="str">
        <f t="shared" si="49"/>
        <v>CXC</v>
      </c>
      <c r="N63" s="81">
        <f t="shared" si="50"/>
        <v>2534.6</v>
      </c>
      <c r="O63" s="101">
        <f t="shared" si="51"/>
        <v>2185</v>
      </c>
      <c r="P63" s="134">
        <v>1</v>
      </c>
      <c r="Q63" s="81"/>
      <c r="R63" s="81"/>
    </row>
    <row r="64" spans="1:18" ht="12.6" customHeight="1" x14ac:dyDescent="0.25">
      <c r="A64" s="53"/>
      <c r="B64" s="78" t="str">
        <f>IFERROR(VLOOKUP($E64,'Total Doi'!$B$3:$E$100,4,FALSE),"")</f>
        <v/>
      </c>
      <c r="C64" s="79" t="s">
        <v>246</v>
      </c>
      <c r="D64" s="79" t="s">
        <v>312</v>
      </c>
      <c r="E64" s="79" t="s">
        <v>75</v>
      </c>
      <c r="F64" s="80" t="s">
        <v>314</v>
      </c>
      <c r="G64" s="81">
        <v>173966.21</v>
      </c>
      <c r="H64" s="81">
        <v>0</v>
      </c>
      <c r="I64" s="82">
        <f t="shared" si="48"/>
        <v>173966.21</v>
      </c>
      <c r="J64" s="83">
        <v>45822</v>
      </c>
      <c r="K64" s="134">
        <v>24</v>
      </c>
      <c r="L64" s="135" t="s">
        <v>281</v>
      </c>
      <c r="M64" s="135" t="str">
        <f t="shared" si="49"/>
        <v>CXC</v>
      </c>
      <c r="N64" s="81">
        <f t="shared" si="50"/>
        <v>155326.97321428568</v>
      </c>
      <c r="O64" s="101">
        <f t="shared" si="51"/>
        <v>133902.56311576354</v>
      </c>
      <c r="P64" s="134">
        <f>_xlfn.XLOOKUP(E64,'Total Doi'!B:B,'Total Doi'!F:F,1.12,FALSE)</f>
        <v>1.1200000000000001</v>
      </c>
      <c r="Q64" s="81"/>
      <c r="R64" s="81"/>
    </row>
    <row r="65" spans="1:18" ht="12.6" customHeight="1" x14ac:dyDescent="0.25">
      <c r="B65" s="78" t="str">
        <f>IFERROR(VLOOKUP($E65,'Total Doi'!$B$3:$E$100,4,FALSE),"")</f>
        <v/>
      </c>
      <c r="C65" s="79" t="s">
        <v>244</v>
      </c>
      <c r="D65" s="79" t="s">
        <v>312</v>
      </c>
      <c r="E65" s="79" t="s">
        <v>75</v>
      </c>
      <c r="F65" s="80" t="s">
        <v>315</v>
      </c>
      <c r="G65" s="81">
        <f>131378.58-125105.12</f>
        <v>6273.4599999999919</v>
      </c>
      <c r="H65" s="81">
        <v>0</v>
      </c>
      <c r="I65" s="82">
        <f>G65+(H65*$K$2)</f>
        <v>6273.4599999999919</v>
      </c>
      <c r="J65" s="83">
        <v>45822</v>
      </c>
      <c r="K65" s="134">
        <v>24</v>
      </c>
      <c r="L65" s="135" t="s">
        <v>281</v>
      </c>
      <c r="M65" s="135" t="str">
        <f>IF(H65=0,"CXC","CXC USD")</f>
        <v>CXC</v>
      </c>
      <c r="N65" s="81">
        <f>IFERROR($I65/P65,0)</f>
        <v>6273.4599999999919</v>
      </c>
      <c r="O65" s="101">
        <f>N65/1.16</f>
        <v>5408.1551724137862</v>
      </c>
      <c r="P65" s="134">
        <v>1</v>
      </c>
      <c r="Q65" s="81"/>
      <c r="R65" s="81"/>
    </row>
    <row r="66" spans="1:18" ht="12.6" customHeight="1" x14ac:dyDescent="0.25">
      <c r="A66" s="53"/>
      <c r="B66" s="53"/>
      <c r="C66" s="91"/>
      <c r="D66" s="92"/>
      <c r="E66" s="93"/>
      <c r="F66" s="93" t="s">
        <v>231</v>
      </c>
      <c r="G66" s="94">
        <f>SUBTOTAL(9,G60:G65)</f>
        <v>199365.05</v>
      </c>
      <c r="H66" s="94">
        <f>SUBTOTAL(9,H60:H65)</f>
        <v>0</v>
      </c>
      <c r="I66" s="94">
        <f>SUBTOTAL(9,I60:I65)</f>
        <v>199365.05</v>
      </c>
      <c r="J66" s="95"/>
      <c r="K66" s="136" t="s">
        <v>232</v>
      </c>
      <c r="L66" s="137" t="s">
        <v>233</v>
      </c>
      <c r="M66" s="137"/>
      <c r="N66" s="94">
        <f>SUBTOTAL(9,N60:N65)</f>
        <v>179219.79392857139</v>
      </c>
      <c r="O66" s="97">
        <f>SUBTOTAL(9,O60:O65)</f>
        <v>154499.82235221675</v>
      </c>
      <c r="P66" s="136"/>
      <c r="Q66" s="94">
        <f>SUBTOTAL(9,Q60:Q65)</f>
        <v>0</v>
      </c>
      <c r="R66" s="94">
        <f>SUBTOTAL(9,R60:R65)</f>
        <v>0</v>
      </c>
    </row>
    <row r="67" spans="1:18" ht="12.6" hidden="1" customHeight="1" x14ac:dyDescent="0.25">
      <c r="B67" s="53"/>
      <c r="C67" s="91"/>
      <c r="D67" s="92"/>
      <c r="E67" s="93"/>
      <c r="F67" s="93" t="s">
        <v>231</v>
      </c>
      <c r="G67" s="94">
        <f>SUBTOTAL(9,G60:G66)</f>
        <v>199365.05</v>
      </c>
      <c r="H67" s="94">
        <f>SUBTOTAL(9,H60:H66)</f>
        <v>0</v>
      </c>
      <c r="I67" s="94">
        <f>SUBTOTAL(9,I60:I66)</f>
        <v>199365.05</v>
      </c>
      <c r="J67" s="95"/>
      <c r="K67" s="136" t="s">
        <v>232</v>
      </c>
      <c r="L67" s="137" t="s">
        <v>233</v>
      </c>
      <c r="M67" s="137"/>
      <c r="N67" s="138">
        <f>SUBTOTAL(9,N60:N66)</f>
        <v>179219.79392857139</v>
      </c>
      <c r="O67" s="97">
        <f>SUBTOTAL(9,O60:O66)</f>
        <v>154499.82235221675</v>
      </c>
      <c r="P67" s="136"/>
      <c r="Q67" s="94"/>
      <c r="R67" s="94"/>
    </row>
    <row r="69" spans="1:18" ht="12.6" customHeight="1" x14ac:dyDescent="0.25">
      <c r="B69" s="53"/>
      <c r="C69" s="141"/>
      <c r="D69" s="141"/>
      <c r="E69" s="142"/>
      <c r="F69" s="142" t="s">
        <v>254</v>
      </c>
      <c r="G69" s="143">
        <f>SUBTOTAL(9,G2:G68)</f>
        <v>27491493.850000001</v>
      </c>
      <c r="H69" s="143">
        <f>SUBTOTAL(9,H2:H68)</f>
        <v>0</v>
      </c>
      <c r="I69" s="143">
        <f>SUBTOTAL(9,I2:I68)</f>
        <v>27491493.850000001</v>
      </c>
      <c r="J69" s="144"/>
      <c r="K69" s="145"/>
      <c r="L69" s="145"/>
      <c r="M69" s="145"/>
      <c r="N69" s="143">
        <f>SUBTOTAL(9,N4:N68)</f>
        <v>24700806.856571384</v>
      </c>
      <c r="O69" s="143">
        <f>SUBTOTAL(9,O2:O68)</f>
        <v>21696716.633596022</v>
      </c>
      <c r="P69" s="145"/>
      <c r="Q69" s="143">
        <f>SUBTOTAL(9,Q6:Q68)</f>
        <v>-691422.06050000002</v>
      </c>
      <c r="R69" s="143">
        <f>R39+R49</f>
        <v>0</v>
      </c>
    </row>
    <row r="70" spans="1:18" ht="12.6" customHeight="1" x14ac:dyDescent="0.25">
      <c r="N70" s="147">
        <f>N69+Q69+(R69)</f>
        <v>24009384.796071384</v>
      </c>
      <c r="R70" s="65"/>
    </row>
    <row r="73" spans="1:18" ht="12.6" customHeight="1" x14ac:dyDescent="0.25">
      <c r="F73" s="110" t="s">
        <v>255</v>
      </c>
      <c r="G73" s="94">
        <f>SUBTOTAL(9,G2:G72)</f>
        <v>27491493.850000001</v>
      </c>
      <c r="H73" s="94">
        <f>SUBTOTAL(9,H2:H72)</f>
        <v>0</v>
      </c>
      <c r="I73" s="94">
        <f>SUBTOTAL(9,I2:I72)</f>
        <v>27491493.850000001</v>
      </c>
      <c r="N73" s="94"/>
      <c r="Q73" s="94"/>
      <c r="R73" s="94"/>
    </row>
    <row r="74" spans="1:18" ht="12.6" customHeight="1" x14ac:dyDescent="0.25">
      <c r="G74" s="111">
        <v>2570746.8064000001</v>
      </c>
      <c r="H74" s="111">
        <v>0</v>
      </c>
      <c r="I74" s="111">
        <v>8396825.3351600002</v>
      </c>
      <c r="N74" s="111"/>
      <c r="Q74" s="111"/>
      <c r="R74" s="111"/>
    </row>
    <row r="75" spans="1:18" ht="12.6" customHeight="1" x14ac:dyDescent="0.25">
      <c r="G75" s="112">
        <f>G74-G73</f>
        <v>-24920747.0436</v>
      </c>
      <c r="H75" s="112">
        <f>H74-H73</f>
        <v>0</v>
      </c>
      <c r="I75" s="112">
        <f>I74-I73</f>
        <v>-19094668.514839999</v>
      </c>
      <c r="N75" s="112"/>
      <c r="Q75" s="112"/>
      <c r="R75" s="112"/>
    </row>
    <row r="78" spans="1:18" ht="12.6" customHeight="1" x14ac:dyDescent="0.25">
      <c r="F78" s="155" t="s">
        <v>329</v>
      </c>
      <c r="G78" s="156">
        <f>SUMIF($L$2:$L$69,$F78,G2:G69)</f>
        <v>10932305.810000002</v>
      </c>
      <c r="H78" s="156">
        <f>SUMIF($L$2:$L$37,$F78,H2:H71)</f>
        <v>0</v>
      </c>
      <c r="I78" s="155"/>
    </row>
  </sheetData>
  <autoFilter ref="B2:R66" xr:uid="{0321515D-5120-4D75-9EC8-BB50B9943E87}"/>
  <sortState xmlns:xlrd2="http://schemas.microsoft.com/office/spreadsheetml/2017/richdata2" ref="C41:L47">
    <sortCondition ref="C41:C47"/>
  </sortState>
  <conditionalFormatting sqref="G2:G7 G66:I66 N66:N67 Q66:R67 G57:I59 N57:N59 Q57:R59 G53:I53 N53 Q53:R53 I42:I48 G39:G41 G38:I38 G15:G37 G11:I14 N8:N38 Q2:R38 I8">
    <cfRule type="cellIs" dxfId="216" priority="1270" operator="lessThan">
      <formula>0</formula>
    </cfRule>
  </conditionalFormatting>
  <conditionalFormatting sqref="G9:G10">
    <cfRule type="cellIs" dxfId="215" priority="1258" operator="lessThan">
      <formula>0</formula>
    </cfRule>
  </conditionalFormatting>
  <conditionalFormatting sqref="G42:G47">
    <cfRule type="cellIs" dxfId="214" priority="10" operator="lessThan">
      <formula>0</formula>
    </cfRule>
  </conditionalFormatting>
  <conditionalFormatting sqref="G49:G52">
    <cfRule type="cellIs" dxfId="213" priority="84" operator="lessThan">
      <formula>0</formula>
    </cfRule>
  </conditionalFormatting>
  <conditionalFormatting sqref="G54:G56">
    <cfRule type="cellIs" dxfId="212" priority="144" operator="lessThan">
      <formula>0</formula>
    </cfRule>
  </conditionalFormatting>
  <conditionalFormatting sqref="G58:G59">
    <cfRule type="cellIs" dxfId="211" priority="1184" operator="lessThan">
      <formula>0</formula>
    </cfRule>
  </conditionalFormatting>
  <conditionalFormatting sqref="G60:G65">
    <cfRule type="cellIs" dxfId="210" priority="41" operator="lessThan">
      <formula>0</formula>
    </cfRule>
  </conditionalFormatting>
  <conditionalFormatting sqref="G69">
    <cfRule type="cellIs" dxfId="209" priority="1177" operator="lessThan">
      <formula>0</formula>
    </cfRule>
  </conditionalFormatting>
  <conditionalFormatting sqref="N38:N52 Q38:R52 G14:I41">
    <cfRule type="cellIs" dxfId="208" priority="122" operator="lessThan">
      <formula>0</formula>
    </cfRule>
    <cfRule type="cellIs" dxfId="207" priority="123" operator="lessThan">
      <formula>0</formula>
    </cfRule>
  </conditionalFormatting>
  <conditionalFormatting sqref="G42:H47">
    <cfRule type="cellIs" dxfId="206" priority="8" operator="lessThan">
      <formula>0</formula>
    </cfRule>
    <cfRule type="cellIs" dxfId="205" priority="9" operator="lessThan">
      <formula>0</formula>
    </cfRule>
  </conditionalFormatting>
  <conditionalFormatting sqref="G67:H67">
    <cfRule type="cellIs" dxfId="204" priority="1107" operator="lessThan">
      <formula>0</formula>
    </cfRule>
    <cfRule type="cellIs" dxfId="203" priority="1108" operator="lessThan">
      <formula>0</formula>
    </cfRule>
  </conditionalFormatting>
  <conditionalFormatting sqref="G2:I7">
    <cfRule type="cellIs" dxfId="202" priority="1152" operator="lessThan">
      <formula>0</formula>
    </cfRule>
    <cfRule type="cellIs" dxfId="201" priority="1153" operator="lessThan">
      <formula>0</formula>
    </cfRule>
  </conditionalFormatting>
  <conditionalFormatting sqref="G8:I8">
    <cfRule type="cellIs" dxfId="200" priority="1267" operator="lessThan">
      <formula>0</formula>
    </cfRule>
  </conditionalFormatting>
  <conditionalFormatting sqref="G8:I10">
    <cfRule type="cellIs" dxfId="199" priority="1256" operator="lessThan">
      <formula>0</formula>
    </cfRule>
    <cfRule type="cellIs" dxfId="198" priority="1257" operator="lessThan">
      <formula>0</formula>
    </cfRule>
  </conditionalFormatting>
  <conditionalFormatting sqref="G48:I48">
    <cfRule type="cellIs" dxfId="197" priority="1222" operator="lessThan">
      <formula>0</formula>
    </cfRule>
  </conditionalFormatting>
  <conditionalFormatting sqref="G48:I52">
    <cfRule type="cellIs" dxfId="196" priority="82" operator="lessThan">
      <formula>0</formula>
    </cfRule>
    <cfRule type="cellIs" dxfId="195" priority="83" operator="lessThan">
      <formula>0</formula>
    </cfRule>
  </conditionalFormatting>
  <conditionalFormatting sqref="G53:I56">
    <cfRule type="cellIs" dxfId="194" priority="142" operator="lessThan">
      <formula>0</formula>
    </cfRule>
    <cfRule type="cellIs" dxfId="193" priority="143" operator="lessThan">
      <formula>0</formula>
    </cfRule>
  </conditionalFormatting>
  <conditionalFormatting sqref="G57:I57">
    <cfRule type="cellIs" dxfId="192" priority="764" operator="lessThan">
      <formula>0</formula>
    </cfRule>
    <cfRule type="cellIs" dxfId="191" priority="766" operator="lessThan">
      <formula>0</formula>
    </cfRule>
  </conditionalFormatting>
  <conditionalFormatting sqref="G58:I59 G11:I13 N9:N37 Q2:R37">
    <cfRule type="cellIs" dxfId="190" priority="1183" operator="lessThan">
      <formula>0</formula>
    </cfRule>
  </conditionalFormatting>
  <conditionalFormatting sqref="G60:I65">
    <cfRule type="cellIs" dxfId="189" priority="39" operator="lessThan">
      <formula>0</formula>
    </cfRule>
    <cfRule type="cellIs" dxfId="188" priority="40" operator="lessThan">
      <formula>0</formula>
    </cfRule>
  </conditionalFormatting>
  <conditionalFormatting sqref="G66:I66">
    <cfRule type="cellIs" dxfId="187" priority="535" operator="lessThan">
      <formula>0</formula>
    </cfRule>
    <cfRule type="cellIs" dxfId="186" priority="537" operator="lessThan">
      <formula>0</formula>
    </cfRule>
  </conditionalFormatting>
  <conditionalFormatting sqref="G67:I67">
    <cfRule type="cellIs" dxfId="185" priority="1109" operator="lessThan">
      <formula>0</formula>
    </cfRule>
  </conditionalFormatting>
  <conditionalFormatting sqref="G69:I69">
    <cfRule type="cellIs" dxfId="184" priority="1175" operator="lessThan">
      <formula>0</formula>
    </cfRule>
    <cfRule type="cellIs" dxfId="183" priority="1176" operator="lessThan">
      <formula>0</formula>
    </cfRule>
  </conditionalFormatting>
  <conditionalFormatting sqref="G73:I73">
    <cfRule type="cellIs" dxfId="182" priority="1170" operator="lessThan">
      <formula>0</formula>
    </cfRule>
    <cfRule type="cellIs" dxfId="181" priority="1171" operator="lessThan">
      <formula>0</formula>
    </cfRule>
    <cfRule type="cellIs" dxfId="180" priority="1172" operator="lessThan">
      <formula>0</formula>
    </cfRule>
  </conditionalFormatting>
  <conditionalFormatting sqref="I42:I47">
    <cfRule type="cellIs" dxfId="179" priority="12" operator="lessThan">
      <formula>0</formula>
    </cfRule>
  </conditionalFormatting>
  <conditionalFormatting sqref="I56">
    <cfRule type="cellIs" dxfId="178" priority="140" operator="lessThan">
      <formula>0</formula>
    </cfRule>
    <cfRule type="cellIs" dxfId="177" priority="141" operator="lessThan">
      <formula>0</formula>
    </cfRule>
  </conditionalFormatting>
  <conditionalFormatting sqref="I67">
    <cfRule type="cellIs" dxfId="176" priority="1180" operator="lessThan">
      <formula>0</formula>
    </cfRule>
    <cfRule type="cellIs" dxfId="175" priority="1181" operator="lessThan">
      <formula>0</formula>
    </cfRule>
  </conditionalFormatting>
  <conditionalFormatting sqref="J4">
    <cfRule type="cellIs" dxfId="174" priority="1281" operator="lessThan">
      <formula>0</formula>
    </cfRule>
    <cfRule type="cellIs" dxfId="173" priority="1282" operator="lessThan">
      <formula>0</formula>
    </cfRule>
  </conditionalFormatting>
  <conditionalFormatting sqref="N2:N7">
    <cfRule type="cellIs" dxfId="172" priority="120" operator="lessThan">
      <formula>0</formula>
    </cfRule>
    <cfRule type="cellIs" dxfId="171" priority="121" operator="lessThan">
      <formula>0</formula>
    </cfRule>
  </conditionalFormatting>
  <conditionalFormatting sqref="N8">
    <cfRule type="cellIs" dxfId="170" priority="357" operator="lessThan">
      <formula>0</formula>
    </cfRule>
    <cfRule type="cellIs" dxfId="169" priority="358" operator="lessThan">
      <formula>0</formula>
    </cfRule>
  </conditionalFormatting>
  <conditionalFormatting sqref="N48">
    <cfRule type="cellIs" dxfId="168" priority="1016" operator="lessThan">
      <formula>0</formula>
    </cfRule>
  </conditionalFormatting>
  <conditionalFormatting sqref="N53:N56">
    <cfRule type="cellIs" dxfId="167" priority="138" operator="lessThan">
      <formula>0</formula>
    </cfRule>
    <cfRule type="cellIs" dxfId="166" priority="139" operator="lessThan">
      <formula>0</formula>
    </cfRule>
  </conditionalFormatting>
  <conditionalFormatting sqref="N57">
    <cfRule type="cellIs" dxfId="165" priority="753" operator="lessThan">
      <formula>0</formula>
    </cfRule>
    <cfRule type="cellIs" dxfId="164" priority="754" operator="lessThan">
      <formula>0</formula>
    </cfRule>
  </conditionalFormatting>
  <conditionalFormatting sqref="N58:N59">
    <cfRule type="cellIs" dxfId="163" priority="1002" operator="lessThan">
      <formula>0</formula>
    </cfRule>
  </conditionalFormatting>
  <conditionalFormatting sqref="N60:N65">
    <cfRule type="cellIs" dxfId="162" priority="37" operator="lessThan">
      <formula>0</formula>
    </cfRule>
    <cfRule type="cellIs" dxfId="161" priority="38" operator="lessThan">
      <formula>0</formula>
    </cfRule>
  </conditionalFormatting>
  <conditionalFormatting sqref="N66">
    <cfRule type="cellIs" dxfId="160" priority="532" operator="lessThan">
      <formula>0</formula>
    </cfRule>
    <cfRule type="cellIs" dxfId="159" priority="533" operator="lessThan">
      <formula>0</formula>
    </cfRule>
  </conditionalFormatting>
  <conditionalFormatting sqref="N67">
    <cfRule type="cellIs" dxfId="158" priority="986" operator="lessThan">
      <formula>0</formula>
    </cfRule>
    <cfRule type="cellIs" dxfId="157" priority="987" operator="lessThan">
      <formula>0</formula>
    </cfRule>
  </conditionalFormatting>
  <conditionalFormatting sqref="N73">
    <cfRule type="cellIs" dxfId="156" priority="996" operator="lessThan">
      <formula>0</formula>
    </cfRule>
    <cfRule type="cellIs" dxfId="155" priority="997" operator="lessThan">
      <formula>0</formula>
    </cfRule>
    <cfRule type="cellIs" dxfId="154" priority="998" operator="lessThan">
      <formula>0</formula>
    </cfRule>
  </conditionalFormatting>
  <conditionalFormatting sqref="N69:O69">
    <cfRule type="cellIs" dxfId="153" priority="999" operator="lessThan">
      <formula>0</formula>
    </cfRule>
    <cfRule type="cellIs" dxfId="152" priority="1000" operator="lessThan">
      <formula>0</formula>
    </cfRule>
  </conditionalFormatting>
  <conditionalFormatting sqref="O2">
    <cfRule type="cellIs" dxfId="151" priority="1279" operator="lessThan">
      <formula>0</formula>
    </cfRule>
    <cfRule type="cellIs" dxfId="150" priority="1280" operator="lessThan">
      <formula>0</formula>
    </cfRule>
  </conditionalFormatting>
  <conditionalFormatting sqref="O7">
    <cfRule type="cellIs" dxfId="149" priority="1277" operator="lessThan">
      <formula>0</formula>
    </cfRule>
    <cfRule type="cellIs" dxfId="148" priority="1278" operator="lessThan">
      <formula>0</formula>
    </cfRule>
  </conditionalFormatting>
  <conditionalFormatting sqref="O10">
    <cfRule type="cellIs" dxfId="147" priority="1259" operator="lessThan">
      <formula>0</formula>
    </cfRule>
    <cfRule type="cellIs" dxfId="146" priority="1260" operator="lessThan">
      <formula>0</formula>
    </cfRule>
  </conditionalFormatting>
  <conditionalFormatting sqref="O16">
    <cfRule type="cellIs" dxfId="145" priority="1244" operator="lessThan">
      <formula>0</formula>
    </cfRule>
    <cfRule type="cellIs" dxfId="144" priority="1245" operator="lessThan">
      <formula>0</formula>
    </cfRule>
  </conditionalFormatting>
  <conditionalFormatting sqref="O40">
    <cfRule type="cellIs" dxfId="143" priority="1229" operator="lessThan">
      <formula>0</formula>
    </cfRule>
    <cfRule type="cellIs" dxfId="142" priority="1230" operator="lessThan">
      <formula>0</formula>
    </cfRule>
  </conditionalFormatting>
  <conditionalFormatting sqref="O50">
    <cfRule type="cellIs" dxfId="141" priority="1211" operator="lessThan">
      <formula>0</formula>
    </cfRule>
    <cfRule type="cellIs" dxfId="140" priority="1212" operator="lessThan">
      <formula>0</formula>
    </cfRule>
  </conditionalFormatting>
  <conditionalFormatting sqref="O55">
    <cfRule type="cellIs" dxfId="139" priority="771" operator="lessThan">
      <formula>0</formula>
    </cfRule>
    <cfRule type="cellIs" dxfId="138" priority="772" operator="lessThan">
      <formula>0</formula>
    </cfRule>
  </conditionalFormatting>
  <conditionalFormatting sqref="O59">
    <cfRule type="cellIs" dxfId="137" priority="1188" operator="lessThan">
      <formula>0</formula>
    </cfRule>
    <cfRule type="cellIs" dxfId="136" priority="1189" operator="lessThan">
      <formula>0</formula>
    </cfRule>
  </conditionalFormatting>
  <conditionalFormatting sqref="Q8:R8">
    <cfRule type="cellIs" dxfId="135" priority="966" operator="lessThan">
      <formula>0</formula>
    </cfRule>
  </conditionalFormatting>
  <conditionalFormatting sqref="Q48:R48">
    <cfRule type="cellIs" dxfId="134" priority="943" operator="lessThan">
      <formula>0</formula>
    </cfRule>
  </conditionalFormatting>
  <conditionalFormatting sqref="Q53:R56">
    <cfRule type="cellIs" dxfId="133" priority="136" operator="lessThan">
      <formula>0</formula>
    </cfRule>
    <cfRule type="cellIs" dxfId="132" priority="137" operator="lessThan">
      <formula>0</formula>
    </cfRule>
  </conditionalFormatting>
  <conditionalFormatting sqref="Q57:R57">
    <cfRule type="cellIs" dxfId="131" priority="746" operator="lessThan">
      <formula>0</formula>
    </cfRule>
    <cfRule type="cellIs" dxfId="130" priority="747" operator="lessThan">
      <formula>0</formula>
    </cfRule>
  </conditionalFormatting>
  <conditionalFormatting sqref="Q58:R59">
    <cfRule type="cellIs" dxfId="129" priority="891" operator="lessThan">
      <formula>0</formula>
    </cfRule>
  </conditionalFormatting>
  <conditionalFormatting sqref="Q60:R65">
    <cfRule type="cellIs" dxfId="128" priority="35" operator="lessThan">
      <formula>0</formula>
    </cfRule>
    <cfRule type="cellIs" dxfId="127" priority="36" operator="lessThan">
      <formula>0</formula>
    </cfRule>
  </conditionalFormatting>
  <conditionalFormatting sqref="Q66:R66">
    <cfRule type="cellIs" dxfId="126" priority="529" operator="lessThan">
      <formula>0</formula>
    </cfRule>
    <cfRule type="cellIs" dxfId="125" priority="530" operator="lessThan">
      <formula>0</formula>
    </cfRule>
  </conditionalFormatting>
  <conditionalFormatting sqref="Q67:R67">
    <cfRule type="cellIs" dxfId="124" priority="913" operator="lessThan">
      <formula>0</formula>
    </cfRule>
    <cfRule type="cellIs" dxfId="123" priority="914" operator="lessThan">
      <formula>0</formula>
    </cfRule>
  </conditionalFormatting>
  <conditionalFormatting sqref="Q69:R69">
    <cfRule type="cellIs" dxfId="122" priority="926" operator="lessThan">
      <formula>0</formula>
    </cfRule>
    <cfRule type="cellIs" dxfId="121" priority="927" operator="lessThan">
      <formula>0</formula>
    </cfRule>
  </conditionalFormatting>
  <conditionalFormatting sqref="Q73:R73">
    <cfRule type="cellIs" dxfId="120" priority="923" operator="lessThan">
      <formula>0</formula>
    </cfRule>
    <cfRule type="cellIs" dxfId="119" priority="924" operator="lessThan">
      <formula>0</formula>
    </cfRule>
    <cfRule type="cellIs" dxfId="118" priority="925" operator="lessThan">
      <formula>0</formula>
    </cfRule>
  </conditionalFormatting>
  <conditionalFormatting sqref="R70">
    <cfRule type="cellIs" dxfId="117" priority="888" operator="lessThan">
      <formula>0</formula>
    </cfRule>
    <cfRule type="cellIs" dxfId="116" priority="889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A14C0-048F-4CFA-A6D7-BD5435D2A5BC}">
  <dimension ref="A1:T61"/>
  <sheetViews>
    <sheetView showGridLines="0" zoomScale="85" zoomScaleNormal="85" workbookViewId="0">
      <pane xSplit="2" ySplit="2" topLeftCell="C3" activePane="bottomRight" state="frozen"/>
      <selection activeCell="G72" sqref="G61:G72"/>
      <selection pane="topRight" activeCell="G72" sqref="G61:G72"/>
      <selection pane="bottomLeft" activeCell="G72" sqref="G61:G72"/>
      <selection pane="bottomRight" activeCell="I11" sqref="I11"/>
    </sheetView>
  </sheetViews>
  <sheetFormatPr baseColWidth="10" defaultColWidth="11.42578125" defaultRowHeight="12.6" customHeight="1" outlineLevelCol="1" x14ac:dyDescent="0.25"/>
  <cols>
    <col min="1" max="1" width="2" bestFit="1" customWidth="1"/>
    <col min="2" max="2" width="23.42578125" customWidth="1" outlineLevel="1"/>
    <col min="3" max="3" width="30" customWidth="1" outlineLevel="1"/>
    <col min="4" max="5" width="30" customWidth="1"/>
    <col min="6" max="6" width="19.85546875" bestFit="1" customWidth="1"/>
    <col min="7" max="7" width="16.42578125" customWidth="1"/>
    <col min="8" max="8" width="14.85546875" customWidth="1"/>
    <col min="9" max="9" width="16.42578125" customWidth="1"/>
    <col min="10" max="10" width="14.85546875" customWidth="1"/>
    <col min="11" max="11" width="8.7109375" customWidth="1" outlineLevel="1"/>
    <col min="12" max="12" width="13.28515625" customWidth="1" outlineLevel="1"/>
    <col min="13" max="13" width="8" customWidth="1" outlineLevel="1"/>
    <col min="14" max="14" width="17.28515625" customWidth="1"/>
    <col min="15" max="15" width="17.28515625" customWidth="1" outlineLevel="1"/>
    <col min="16" max="16" width="9.5703125" customWidth="1" outlineLevel="1"/>
    <col min="17" max="17" width="13" style="122" customWidth="1"/>
    <col min="18" max="18" width="10.42578125" style="122" bestFit="1" customWidth="1"/>
    <col min="19" max="19" width="14.28515625" customWidth="1"/>
    <col min="20" max="20" width="12.85546875" bestFit="1" customWidth="1"/>
  </cols>
  <sheetData>
    <row r="1" spans="1:20" ht="12.6" customHeight="1" x14ac:dyDescent="0.25">
      <c r="F1" s="154" t="s">
        <v>340</v>
      </c>
      <c r="G1" s="153">
        <f>G52</f>
        <v>0</v>
      </c>
      <c r="H1" s="153">
        <f>H52</f>
        <v>0</v>
      </c>
      <c r="J1" s="158" t="s">
        <v>343</v>
      </c>
      <c r="K1" s="134">
        <f ca="1">WEEKNUM(TODAY())</f>
        <v>2</v>
      </c>
    </row>
    <row r="2" spans="1:20" ht="12.6" customHeight="1" x14ac:dyDescent="0.25">
      <c r="A2" s="44" t="s">
        <v>212</v>
      </c>
      <c r="B2" s="45" t="s">
        <v>1</v>
      </c>
      <c r="C2" s="46" t="s">
        <v>213</v>
      </c>
      <c r="D2" s="47" t="s">
        <v>214</v>
      </c>
      <c r="E2" s="47" t="s">
        <v>215</v>
      </c>
      <c r="F2" s="47" t="s">
        <v>216</v>
      </c>
      <c r="G2" s="48" t="s">
        <v>217</v>
      </c>
      <c r="H2" s="48" t="s">
        <v>218</v>
      </c>
      <c r="I2" s="48" t="s">
        <v>219</v>
      </c>
      <c r="J2" s="49" t="s">
        <v>220</v>
      </c>
      <c r="K2" s="44">
        <v>20</v>
      </c>
      <c r="L2" s="50" t="s">
        <v>221</v>
      </c>
      <c r="M2" s="48" t="str">
        <f>IF(H2=0,"CXC","CXC USD")</f>
        <v>CXC USD</v>
      </c>
      <c r="N2" s="48" t="s">
        <v>222</v>
      </c>
      <c r="O2" s="48" t="s">
        <v>223</v>
      </c>
      <c r="P2" s="51"/>
      <c r="Q2" s="116" t="s">
        <v>304</v>
      </c>
      <c r="R2" s="116" t="s">
        <v>305</v>
      </c>
    </row>
    <row r="3" spans="1:20" ht="12.6" customHeight="1" x14ac:dyDescent="0.25">
      <c r="A3" s="53" t="s">
        <v>212</v>
      </c>
      <c r="B3" s="53" t="s">
        <v>212</v>
      </c>
      <c r="C3" s="55" t="s">
        <v>224</v>
      </c>
      <c r="D3" s="56"/>
      <c r="E3" s="56"/>
      <c r="F3" s="56"/>
      <c r="G3" s="57"/>
      <c r="H3" s="57"/>
      <c r="I3" s="57"/>
      <c r="J3" s="58"/>
      <c r="K3" s="59"/>
      <c r="L3" s="60"/>
      <c r="M3" s="53"/>
      <c r="N3" s="61"/>
      <c r="O3" s="61"/>
      <c r="P3" s="62"/>
      <c r="Q3" s="116"/>
      <c r="R3" s="116"/>
    </row>
    <row r="4" spans="1:20" ht="12.6" customHeight="1" x14ac:dyDescent="0.25">
      <c r="A4" s="53"/>
      <c r="B4" s="53"/>
      <c r="C4" s="117" t="s">
        <v>243</v>
      </c>
      <c r="D4" s="64"/>
      <c r="E4" s="64"/>
      <c r="F4" s="64"/>
      <c r="G4" s="65"/>
      <c r="H4" s="65"/>
      <c r="I4" s="65"/>
      <c r="J4" s="65"/>
      <c r="K4" s="66"/>
      <c r="L4" s="67"/>
      <c r="M4" s="53"/>
      <c r="N4" s="68"/>
      <c r="O4" s="61"/>
      <c r="P4" s="62"/>
      <c r="Q4" s="116"/>
      <c r="R4" s="116"/>
    </row>
    <row r="5" spans="1:20" ht="12.6" customHeight="1" x14ac:dyDescent="0.25">
      <c r="A5" s="53"/>
      <c r="B5" s="53"/>
      <c r="C5" s="69" t="str">
        <f>R2</f>
        <v>RESERVA USD</v>
      </c>
      <c r="D5" s="64"/>
      <c r="E5" s="64"/>
      <c r="F5" s="64"/>
      <c r="G5" s="65"/>
      <c r="H5" s="65"/>
      <c r="I5" s="65"/>
      <c r="J5" s="70"/>
      <c r="K5" s="59">
        <v>0</v>
      </c>
      <c r="L5" s="60"/>
      <c r="M5" s="53"/>
      <c r="N5" s="68"/>
      <c r="O5" s="61"/>
      <c r="P5" s="62"/>
      <c r="Q5" s="116"/>
      <c r="R5" s="116"/>
    </row>
    <row r="6" spans="1:20" ht="12.6" customHeight="1" x14ac:dyDescent="0.25">
      <c r="A6" s="53"/>
      <c r="B6" s="53"/>
      <c r="C6" s="71" t="s">
        <v>256</v>
      </c>
      <c r="D6" s="64"/>
      <c r="E6" s="64"/>
      <c r="F6" s="64"/>
      <c r="G6" s="65"/>
      <c r="H6" s="65"/>
      <c r="I6" s="65"/>
      <c r="J6" s="72"/>
      <c r="K6" s="73"/>
      <c r="L6" s="60" t="s">
        <v>227</v>
      </c>
      <c r="M6" s="53"/>
      <c r="N6" s="61"/>
      <c r="O6" s="61"/>
      <c r="P6" s="52"/>
      <c r="Q6" s="116"/>
      <c r="R6" s="116"/>
    </row>
    <row r="7" spans="1:20" ht="12.6" customHeight="1" x14ac:dyDescent="0.25">
      <c r="A7" s="53"/>
      <c r="B7" s="45" t="s">
        <v>228</v>
      </c>
      <c r="C7" s="46" t="s">
        <v>213</v>
      </c>
      <c r="D7" s="47" t="s">
        <v>214</v>
      </c>
      <c r="E7" s="47" t="s">
        <v>215</v>
      </c>
      <c r="F7" s="47" t="s">
        <v>216</v>
      </c>
      <c r="G7" s="48" t="s">
        <v>217</v>
      </c>
      <c r="H7" s="48" t="s">
        <v>218</v>
      </c>
      <c r="I7" s="48" t="s">
        <v>219</v>
      </c>
      <c r="J7" s="49" t="s">
        <v>229</v>
      </c>
      <c r="K7" s="96" t="s">
        <v>232</v>
      </c>
      <c r="L7" s="45" t="str">
        <f>J7</f>
        <v>* Fecha Factura</v>
      </c>
      <c r="M7" s="45" t="str">
        <f>IF(H7=0,"CXC","CXC USD")</f>
        <v>CXC USD</v>
      </c>
      <c r="N7" s="49" t="s">
        <v>222</v>
      </c>
      <c r="O7" s="49" t="s">
        <v>223</v>
      </c>
      <c r="P7" s="49"/>
      <c r="Q7" s="49" t="s">
        <v>304</v>
      </c>
      <c r="R7" s="49" t="s">
        <v>305</v>
      </c>
      <c r="S7" s="52" t="s">
        <v>211</v>
      </c>
    </row>
    <row r="8" spans="1:20" s="53" customFormat="1" ht="12.6" customHeight="1" x14ac:dyDescent="0.25">
      <c r="B8" s="78" t="str">
        <f>IFERROR(VLOOKUP($E8,'Total Maga'!$B$3:$E$191,4,FALSE),"")</f>
        <v>MAVILA 2A VILLAS</v>
      </c>
      <c r="C8" s="79" t="s">
        <v>230</v>
      </c>
      <c r="D8" s="79" t="s">
        <v>257</v>
      </c>
      <c r="E8" s="79" t="s">
        <v>148</v>
      </c>
      <c r="F8" s="80" t="s">
        <v>258</v>
      </c>
      <c r="G8" s="81">
        <v>0</v>
      </c>
      <c r="H8" s="81">
        <v>-1486.99</v>
      </c>
      <c r="I8" s="82">
        <f t="shared" ref="I8:I13" si="0">G8+(H8*$K$2)</f>
        <v>-29739.8</v>
      </c>
      <c r="J8" s="83">
        <v>45233</v>
      </c>
      <c r="K8" s="84">
        <v>44</v>
      </c>
      <c r="L8" s="85" t="s">
        <v>321</v>
      </c>
      <c r="M8" s="85" t="str">
        <f t="shared" ref="M8" si="1">IF(H8=0,"CXC","CXC USD")</f>
        <v>CXC USD</v>
      </c>
      <c r="N8" s="86">
        <f t="shared" ref="N8" si="2">IFERROR($I8/P8,0)</f>
        <v>-27284.220183486235</v>
      </c>
      <c r="O8" s="87">
        <f t="shared" ref="O8" si="3">N8/1.16</f>
        <v>-23520.879468522617</v>
      </c>
      <c r="P8" s="88">
        <f>_xlfn.XLOOKUP(E8,'Total Maga'!B:B,'Total Maga'!F:F,1.12,FALSE)</f>
        <v>1.0900000000000001</v>
      </c>
      <c r="Q8" s="119">
        <f t="shared" ref="Q8:Q29" si="4">(G8*0.05)*-1</f>
        <v>0</v>
      </c>
      <c r="R8" s="120">
        <f t="shared" ref="R8:R29" si="5">H8*0.05*-1</f>
        <v>74.349500000000006</v>
      </c>
      <c r="S8" s="157">
        <f>_xlfn.XLOOKUP(E8,'Total Maga'!B:B,'Total Maga'!K:K,0,FALSE)</f>
        <v>1.5000000000000062E-2</v>
      </c>
      <c r="T8" s="157">
        <f t="shared" ref="T8:T29" si="6">O8*S8</f>
        <v>-352.81319202784073</v>
      </c>
    </row>
    <row r="9" spans="1:20" s="53" customFormat="1" ht="12.6" customHeight="1" x14ac:dyDescent="0.25">
      <c r="B9" s="78" t="str">
        <f>IFERROR(VLOOKUP($E9,'Total Maga'!$B$3:$E$191,4,FALSE),"")</f>
        <v>MAVILA 1B</v>
      </c>
      <c r="C9" s="79" t="s">
        <v>230</v>
      </c>
      <c r="D9" s="79" t="s">
        <v>259</v>
      </c>
      <c r="E9" s="79" t="s">
        <v>101</v>
      </c>
      <c r="F9" s="80" t="s">
        <v>260</v>
      </c>
      <c r="G9" s="81">
        <v>-16828.89</v>
      </c>
      <c r="H9" s="81">
        <v>0</v>
      </c>
      <c r="I9" s="82">
        <f t="shared" si="0"/>
        <v>-16828.89</v>
      </c>
      <c r="J9" s="83">
        <v>45338</v>
      </c>
      <c r="K9" s="84">
        <v>7</v>
      </c>
      <c r="L9" s="85" t="s">
        <v>321</v>
      </c>
      <c r="M9" s="85" t="str">
        <f t="shared" ref="M9:M11" si="7">IF(H9=0,"CXC","CXC USD")</f>
        <v>CXC</v>
      </c>
      <c r="N9" s="86">
        <f t="shared" ref="N9:N11" si="8">IFERROR($I9/P9,0)</f>
        <v>-15654.781395348837</v>
      </c>
      <c r="O9" s="87">
        <f t="shared" ref="O9:O11" si="9">N9/1.16</f>
        <v>-13495.50120288693</v>
      </c>
      <c r="P9" s="88">
        <f>_xlfn.XLOOKUP(E9,'Total Maga'!B:B,'Total Maga'!F:F,1.12,FALSE)</f>
        <v>1.075</v>
      </c>
      <c r="Q9" s="119">
        <f t="shared" si="4"/>
        <v>841.44450000000006</v>
      </c>
      <c r="R9" s="120">
        <f t="shared" si="5"/>
        <v>0</v>
      </c>
      <c r="S9" s="157">
        <f>_xlfn.XLOOKUP(E9,'Total Maga'!B:B,'Total Maga'!K:K,0,FALSE)</f>
        <v>-6.2450045135165055E-17</v>
      </c>
      <c r="T9" s="157">
        <f t="shared" si="6"/>
        <v>8.4279465924196301E-13</v>
      </c>
    </row>
    <row r="10" spans="1:20" s="53" customFormat="1" ht="12.6" customHeight="1" x14ac:dyDescent="0.25">
      <c r="B10" s="78" t="str">
        <f>IFERROR(VLOOKUP($E10,'Total Maga'!$B$3:$E$191,4,FALSE),"")</f>
        <v/>
      </c>
      <c r="C10" s="79" t="s">
        <v>230</v>
      </c>
      <c r="D10" s="79" t="s">
        <v>263</v>
      </c>
      <c r="E10" s="79" t="s">
        <v>82</v>
      </c>
      <c r="F10" s="80" t="s">
        <v>264</v>
      </c>
      <c r="G10" s="81"/>
      <c r="H10" s="81">
        <v>-937.29</v>
      </c>
      <c r="I10" s="82">
        <f t="shared" si="0"/>
        <v>-18745.8</v>
      </c>
      <c r="J10" s="83">
        <v>45345</v>
      </c>
      <c r="K10" s="84">
        <v>8</v>
      </c>
      <c r="L10" s="85" t="s">
        <v>321</v>
      </c>
      <c r="M10" s="85" t="str">
        <f t="shared" si="7"/>
        <v>CXC USD</v>
      </c>
      <c r="N10" s="86">
        <f t="shared" si="8"/>
        <v>-16737.321428571428</v>
      </c>
      <c r="O10" s="87">
        <f t="shared" si="9"/>
        <v>-14428.725369458129</v>
      </c>
      <c r="P10" s="88">
        <f>_xlfn.XLOOKUP(E10,'Total Maga'!B:B,'Total Maga'!F:F,1.12,FALSE)</f>
        <v>1.1200000000000001</v>
      </c>
      <c r="Q10" s="119">
        <f t="shared" si="4"/>
        <v>0</v>
      </c>
      <c r="R10" s="120">
        <f t="shared" si="5"/>
        <v>46.8645</v>
      </c>
      <c r="S10" s="157">
        <f>_xlfn.XLOOKUP(E10,'Total Maga'!B:B,'Total Maga'!K:K,0,FALSE)</f>
        <v>0</v>
      </c>
      <c r="T10" s="157">
        <f t="shared" si="6"/>
        <v>0</v>
      </c>
    </row>
    <row r="11" spans="1:20" s="53" customFormat="1" ht="12.6" customHeight="1" x14ac:dyDescent="0.25">
      <c r="B11" s="78" t="str">
        <f>IFERROR(VLOOKUP($E11,'Total Maga'!$B$3:$E$191,4,FALSE),"")</f>
        <v/>
      </c>
      <c r="C11" s="79" t="s">
        <v>230</v>
      </c>
      <c r="D11" s="79" t="s">
        <v>261</v>
      </c>
      <c r="E11" s="79" t="s">
        <v>82</v>
      </c>
      <c r="F11" s="80" t="s">
        <v>262</v>
      </c>
      <c r="G11" s="81">
        <v>-41505.99</v>
      </c>
      <c r="H11" s="81">
        <v>0</v>
      </c>
      <c r="I11" s="82">
        <f t="shared" si="0"/>
        <v>-41505.99</v>
      </c>
      <c r="J11" s="83">
        <v>45345</v>
      </c>
      <c r="K11" s="84">
        <v>8</v>
      </c>
      <c r="L11" s="85" t="s">
        <v>321</v>
      </c>
      <c r="M11" s="85" t="str">
        <f t="shared" si="7"/>
        <v>CXC</v>
      </c>
      <c r="N11" s="86">
        <f t="shared" si="8"/>
        <v>-37058.919642857138</v>
      </c>
      <c r="O11" s="87">
        <f t="shared" si="9"/>
        <v>-31947.344519704431</v>
      </c>
      <c r="P11" s="88">
        <f>_xlfn.XLOOKUP(E11,'Total Maga'!B:B,'Total Maga'!F:F,1.12,FALSE)</f>
        <v>1.1200000000000001</v>
      </c>
      <c r="Q11" s="119">
        <f t="shared" si="4"/>
        <v>2075.2995000000001</v>
      </c>
      <c r="R11" s="120">
        <f t="shared" si="5"/>
        <v>0</v>
      </c>
      <c r="S11" s="157">
        <f>_xlfn.XLOOKUP(E11,'Total Maga'!B:B,'Total Maga'!K:K,0,FALSE)</f>
        <v>0</v>
      </c>
      <c r="T11" s="157">
        <f t="shared" si="6"/>
        <v>0</v>
      </c>
    </row>
    <row r="12" spans="1:20" s="53" customFormat="1" ht="12.6" customHeight="1" x14ac:dyDescent="0.25">
      <c r="B12" s="78" t="str">
        <f>IFERROR(VLOOKUP($E12,'Total Maga'!$B$3:$E$191,4,FALSE),"")</f>
        <v>MAVILA 2A</v>
      </c>
      <c r="C12" s="79" t="s">
        <v>230</v>
      </c>
      <c r="D12" s="79" t="s">
        <v>265</v>
      </c>
      <c r="E12" s="79" t="s">
        <v>118</v>
      </c>
      <c r="F12" s="80" t="s">
        <v>266</v>
      </c>
      <c r="G12" s="81">
        <v>24736.66</v>
      </c>
      <c r="H12" s="81">
        <v>0</v>
      </c>
      <c r="I12" s="82">
        <f t="shared" si="0"/>
        <v>24736.66</v>
      </c>
      <c r="J12" s="83">
        <v>45471</v>
      </c>
      <c r="K12" s="84">
        <v>26</v>
      </c>
      <c r="L12" s="85" t="s">
        <v>321</v>
      </c>
      <c r="M12" s="85" t="str">
        <f t="shared" ref="M12:M17" si="10">IF(H12=0,"CXC","CXC USD")</f>
        <v>CXC</v>
      </c>
      <c r="N12" s="86">
        <f t="shared" ref="N12:N17" si="11">IFERROR($I12/P12,0)</f>
        <v>22694.183486238529</v>
      </c>
      <c r="O12" s="87">
        <f t="shared" ref="O12:O17" si="12">N12/1.16</f>
        <v>19563.951281240112</v>
      </c>
      <c r="P12" s="88">
        <f>_xlfn.XLOOKUP(E12,'Total Maga'!B:B,'Total Maga'!F:F,1.12,FALSE)</f>
        <v>1.0900000000000001</v>
      </c>
      <c r="Q12" s="119">
        <f t="shared" si="4"/>
        <v>-1236.8330000000001</v>
      </c>
      <c r="R12" s="120">
        <f t="shared" si="5"/>
        <v>0</v>
      </c>
      <c r="S12" s="157">
        <f>_xlfn.XLOOKUP(E12,'Total Maga'!B:B,'Total Maga'!K:K,0,FALSE)</f>
        <v>1.5000000000000062E-2</v>
      </c>
      <c r="T12" s="157">
        <f t="shared" si="6"/>
        <v>293.45926921860291</v>
      </c>
    </row>
    <row r="13" spans="1:20" s="53" customFormat="1" ht="12.6" customHeight="1" x14ac:dyDescent="0.25">
      <c r="B13" s="78" t="str">
        <f>IFERROR(VLOOKUP($E13,'Total Maga'!$B$3:$E$191,4,FALSE),"")</f>
        <v>MAVILA 1B</v>
      </c>
      <c r="C13" s="79" t="s">
        <v>230</v>
      </c>
      <c r="D13" s="79" t="s">
        <v>267</v>
      </c>
      <c r="E13" s="79" t="s">
        <v>83</v>
      </c>
      <c r="F13" s="80" t="s">
        <v>268</v>
      </c>
      <c r="G13" s="81">
        <v>-90870.47</v>
      </c>
      <c r="H13" s="81">
        <v>0</v>
      </c>
      <c r="I13" s="82">
        <f t="shared" si="0"/>
        <v>-90870.47</v>
      </c>
      <c r="J13" s="83">
        <v>45549</v>
      </c>
      <c r="K13" s="84">
        <v>37</v>
      </c>
      <c r="L13" s="85" t="s">
        <v>321</v>
      </c>
      <c r="M13" s="85" t="str">
        <f t="shared" si="10"/>
        <v>CXC</v>
      </c>
      <c r="N13" s="86">
        <f t="shared" si="11"/>
        <v>-83367.403669724765</v>
      </c>
      <c r="O13" s="87">
        <f t="shared" si="12"/>
        <v>-71868.451439417899</v>
      </c>
      <c r="P13" s="88">
        <f>_xlfn.XLOOKUP(E13,'Total Maga'!B:B,'Total Maga'!F:F,1.12,FALSE)</f>
        <v>1.0900000000000001</v>
      </c>
      <c r="Q13" s="119">
        <f t="shared" si="4"/>
        <v>4543.5235000000002</v>
      </c>
      <c r="R13" s="120">
        <f t="shared" si="5"/>
        <v>0</v>
      </c>
      <c r="S13" s="157">
        <f>_xlfn.XLOOKUP(E13,'Total Maga'!B:B,'Total Maga'!K:K,0,FALSE)</f>
        <v>1.5000000000000062E-2</v>
      </c>
      <c r="T13" s="157">
        <f t="shared" si="6"/>
        <v>-1078.026771591273</v>
      </c>
    </row>
    <row r="14" spans="1:20" s="53" customFormat="1" ht="12.6" customHeight="1" x14ac:dyDescent="0.25">
      <c r="B14" s="78" t="str">
        <f>IFERROR(VLOOKUP($E14,'Total Maga'!$B$3:$E$191,4,FALSE),"")</f>
        <v>MAVILA CONDO 4</v>
      </c>
      <c r="C14" s="98" t="s">
        <v>230</v>
      </c>
      <c r="D14" s="98" t="s">
        <v>372</v>
      </c>
      <c r="E14" s="98" t="s">
        <v>156</v>
      </c>
      <c r="F14" s="99" t="s">
        <v>373</v>
      </c>
      <c r="G14" s="100">
        <v>15903.24</v>
      </c>
      <c r="H14" s="100">
        <v>0</v>
      </c>
      <c r="I14" s="82">
        <f t="shared" ref="I14:I26" si="13">G14+(H14*$K$2)</f>
        <v>15903.24</v>
      </c>
      <c r="J14" s="83">
        <v>45975</v>
      </c>
      <c r="K14" s="84">
        <v>46</v>
      </c>
      <c r="L14" s="84" t="s">
        <v>420</v>
      </c>
      <c r="M14" s="85" t="str">
        <f t="shared" si="10"/>
        <v>CXC</v>
      </c>
      <c r="N14" s="86">
        <f t="shared" si="11"/>
        <v>14262.995515695067</v>
      </c>
      <c r="O14" s="87">
        <f t="shared" si="12"/>
        <v>12295.685789392301</v>
      </c>
      <c r="P14" s="88">
        <f>_xlfn.XLOOKUP(E14,'Total Maga'!B:B,'Total Maga'!F:F,1.12,FALSE)</f>
        <v>1.115</v>
      </c>
      <c r="Q14" s="119">
        <f t="shared" si="4"/>
        <v>-795.16200000000003</v>
      </c>
      <c r="R14" s="120">
        <f t="shared" si="5"/>
        <v>0</v>
      </c>
      <c r="S14" s="157">
        <f>_xlfn.XLOOKUP(E14,'Total Maga'!B:B,'Total Maga'!K:K,0,FALSE)</f>
        <v>3.999999999999998E-2</v>
      </c>
      <c r="T14" s="157">
        <f t="shared" ref="T14" si="14">O14*S14</f>
        <v>491.82743157569178</v>
      </c>
    </row>
    <row r="15" spans="1:20" s="53" customFormat="1" ht="12.6" customHeight="1" x14ac:dyDescent="0.25">
      <c r="B15" s="78" t="str">
        <f>IFERROR(VLOOKUP($E15,'Total Maga'!$B$3:$E$191,4,FALSE),"")</f>
        <v>MAVILA CONDO 4</v>
      </c>
      <c r="C15" s="98" t="s">
        <v>230</v>
      </c>
      <c r="D15" s="98" t="s">
        <v>374</v>
      </c>
      <c r="E15" s="98" t="s">
        <v>156</v>
      </c>
      <c r="F15" s="99" t="s">
        <v>375</v>
      </c>
      <c r="G15" s="100">
        <v>211004.69</v>
      </c>
      <c r="H15" s="100">
        <v>0</v>
      </c>
      <c r="I15" s="82">
        <f t="shared" si="13"/>
        <v>211004.69</v>
      </c>
      <c r="J15" s="83">
        <v>45975</v>
      </c>
      <c r="K15" s="84">
        <v>46</v>
      </c>
      <c r="L15" s="84" t="s">
        <v>420</v>
      </c>
      <c r="M15" s="85" t="str">
        <f t="shared" si="10"/>
        <v>CXC</v>
      </c>
      <c r="N15" s="86">
        <f t="shared" si="11"/>
        <v>189241.87443946188</v>
      </c>
      <c r="O15" s="87">
        <f t="shared" si="12"/>
        <v>163139.54693057059</v>
      </c>
      <c r="P15" s="88">
        <f>_xlfn.XLOOKUP(E15,'Total Maga'!B:B,'Total Maga'!F:F,1.12,FALSE)</f>
        <v>1.115</v>
      </c>
      <c r="Q15" s="119">
        <f t="shared" si="4"/>
        <v>-10550.2345</v>
      </c>
      <c r="R15" s="120">
        <f t="shared" si="5"/>
        <v>0</v>
      </c>
      <c r="S15" s="157">
        <f>_xlfn.XLOOKUP(E15,'Total Maga'!B:B,'Total Maga'!K:K,0,FALSE)</f>
        <v>3.999999999999998E-2</v>
      </c>
      <c r="T15" s="157">
        <f t="shared" ref="T15:T17" si="15">O15*S15</f>
        <v>6525.5818772228204</v>
      </c>
    </row>
    <row r="16" spans="1:20" s="53" customFormat="1" ht="12.6" customHeight="1" x14ac:dyDescent="0.25">
      <c r="B16" s="78" t="str">
        <f>IFERROR(VLOOKUP($E16,'Total Maga'!$B$3:$E$191,4,FALSE),"")</f>
        <v>MAVILA CONDO 4</v>
      </c>
      <c r="C16" s="98" t="s">
        <v>230</v>
      </c>
      <c r="D16" s="98" t="s">
        <v>376</v>
      </c>
      <c r="E16" s="98" t="s">
        <v>156</v>
      </c>
      <c r="F16" s="99" t="s">
        <v>377</v>
      </c>
      <c r="G16" s="100">
        <v>15814.3</v>
      </c>
      <c r="H16" s="100">
        <v>0</v>
      </c>
      <c r="I16" s="82">
        <f t="shared" si="13"/>
        <v>15814.3</v>
      </c>
      <c r="J16" s="83">
        <v>45975</v>
      </c>
      <c r="K16" s="84">
        <v>46</v>
      </c>
      <c r="L16" s="84" t="s">
        <v>420</v>
      </c>
      <c r="M16" s="85" t="str">
        <f t="shared" si="10"/>
        <v>CXC</v>
      </c>
      <c r="N16" s="86">
        <f t="shared" si="11"/>
        <v>14183.22869955157</v>
      </c>
      <c r="O16" s="87">
        <f t="shared" si="12"/>
        <v>12226.921292716872</v>
      </c>
      <c r="P16" s="88">
        <f>_xlfn.XLOOKUP(E16,'Total Maga'!B:B,'Total Maga'!F:F,1.12,FALSE)</f>
        <v>1.115</v>
      </c>
      <c r="Q16" s="119">
        <f t="shared" si="4"/>
        <v>-790.71500000000003</v>
      </c>
      <c r="R16" s="120">
        <f t="shared" si="5"/>
        <v>0</v>
      </c>
      <c r="S16" s="157">
        <f>_xlfn.XLOOKUP(E16,'Total Maga'!B:B,'Total Maga'!K:K,0,FALSE)</f>
        <v>3.999999999999998E-2</v>
      </c>
      <c r="T16" s="157">
        <f t="shared" si="15"/>
        <v>489.07685170867461</v>
      </c>
    </row>
    <row r="17" spans="1:20" s="53" customFormat="1" ht="12.6" customHeight="1" x14ac:dyDescent="0.25">
      <c r="B17" s="78" t="str">
        <f>IFERROR(VLOOKUP($E17,'Total Maga'!$B$3:$E$191,4,FALSE),"")</f>
        <v>MAVILA CONDO 4</v>
      </c>
      <c r="C17" s="98" t="s">
        <v>230</v>
      </c>
      <c r="D17" s="98" t="s">
        <v>378</v>
      </c>
      <c r="E17" s="98" t="s">
        <v>156</v>
      </c>
      <c r="F17" s="99" t="s">
        <v>379</v>
      </c>
      <c r="G17" s="100">
        <v>1169765.96</v>
      </c>
      <c r="H17" s="100">
        <v>0</v>
      </c>
      <c r="I17" s="82">
        <f t="shared" si="13"/>
        <v>1169765.96</v>
      </c>
      <c r="J17" s="83">
        <v>45975</v>
      </c>
      <c r="K17" s="84">
        <v>46</v>
      </c>
      <c r="L17" s="84" t="s">
        <v>420</v>
      </c>
      <c r="M17" s="85" t="str">
        <f t="shared" si="10"/>
        <v>CXC</v>
      </c>
      <c r="N17" s="86">
        <f t="shared" si="11"/>
        <v>1049117.4529147982</v>
      </c>
      <c r="O17" s="87">
        <f t="shared" si="12"/>
        <v>904411.59734034329</v>
      </c>
      <c r="P17" s="88">
        <f>_xlfn.XLOOKUP(E17,'Total Maga'!B:B,'Total Maga'!F:F,1.12,FALSE)</f>
        <v>1.115</v>
      </c>
      <c r="Q17" s="119">
        <f t="shared" si="4"/>
        <v>-58488.298000000003</v>
      </c>
      <c r="R17" s="120">
        <f t="shared" si="5"/>
        <v>0</v>
      </c>
      <c r="S17" s="157">
        <f>_xlfn.XLOOKUP(E17,'Total Maga'!B:B,'Total Maga'!K:K,0,FALSE)</f>
        <v>3.999999999999998E-2</v>
      </c>
      <c r="T17" s="157">
        <f t="shared" si="15"/>
        <v>36176.463893613713</v>
      </c>
    </row>
    <row r="18" spans="1:20" s="53" customFormat="1" ht="12.6" customHeight="1" x14ac:dyDescent="0.25">
      <c r="B18" s="78" t="str">
        <f>IFERROR(VLOOKUP($E18,'Total Maga'!$B$3:$E$191,4,FALSE),"")</f>
        <v>MAVILA ALBERCAS</v>
      </c>
      <c r="C18" s="98" t="s">
        <v>230</v>
      </c>
      <c r="D18" s="98" t="s">
        <v>380</v>
      </c>
      <c r="E18" s="98" t="s">
        <v>291</v>
      </c>
      <c r="F18" s="99" t="s">
        <v>381</v>
      </c>
      <c r="G18" s="100">
        <v>403497.71</v>
      </c>
      <c r="H18" s="100">
        <v>0</v>
      </c>
      <c r="I18" s="82">
        <f t="shared" si="13"/>
        <v>403497.71</v>
      </c>
      <c r="J18" s="83">
        <v>45975</v>
      </c>
      <c r="K18" s="84">
        <v>46</v>
      </c>
      <c r="L18" s="84" t="s">
        <v>420</v>
      </c>
      <c r="M18" s="85" t="str">
        <f t="shared" ref="M18:M27" si="16">IF(H18=0,"CXC","CXC USD")</f>
        <v>CXC</v>
      </c>
      <c r="N18" s="86">
        <f>IFERROR($I18/P18,0)</f>
        <v>370181.38532110088</v>
      </c>
      <c r="O18" s="87">
        <f t="shared" ref="O18:O26" si="17">N18/1.16</f>
        <v>319121.88389750081</v>
      </c>
      <c r="P18" s="88">
        <f>_xlfn.XLOOKUP(E18,'Total Maga'!B:B,'Total Maga'!F:F,1.12,FALSE)</f>
        <v>1.0900000000000001</v>
      </c>
      <c r="Q18" s="119">
        <f t="shared" ref="Q18:Q26" si="18">(G18*0.05)*-1</f>
        <v>-20174.885500000004</v>
      </c>
      <c r="R18" s="120">
        <f t="shared" ref="R18:R26" si="19">H18*0.05*-1</f>
        <v>0</v>
      </c>
      <c r="S18" s="157">
        <f>_xlfn.XLOOKUP(E18,'Total Maga'!B:B,'Total Maga'!K:K,0,FALSE)</f>
        <v>1.5000000000000062E-2</v>
      </c>
      <c r="T18" s="157">
        <f t="shared" ref="T18" si="20">O18*S18</f>
        <v>4786.8282584625322</v>
      </c>
    </row>
    <row r="19" spans="1:20" s="53" customFormat="1" ht="12.6" customHeight="1" x14ac:dyDescent="0.25">
      <c r="B19" s="78" t="str">
        <f>IFERROR(VLOOKUP($E19,'Total Maga'!$B$3:$E$191,4,FALSE),"")</f>
        <v>MAVILA TORRES FASE 2A3</v>
      </c>
      <c r="C19" s="159" t="s">
        <v>230</v>
      </c>
      <c r="D19" s="159" t="s">
        <v>393</v>
      </c>
      <c r="E19" s="159" t="s">
        <v>394</v>
      </c>
      <c r="F19" s="160" t="s">
        <v>395</v>
      </c>
      <c r="G19" s="161">
        <v>1180431.22</v>
      </c>
      <c r="H19" s="161">
        <v>0</v>
      </c>
      <c r="I19" s="82">
        <f t="shared" si="13"/>
        <v>1180431.22</v>
      </c>
      <c r="J19" s="83">
        <v>45981</v>
      </c>
      <c r="K19" s="84">
        <v>47</v>
      </c>
      <c r="L19" s="84" t="s">
        <v>384</v>
      </c>
      <c r="M19" s="85" t="str">
        <f t="shared" si="16"/>
        <v>CXC</v>
      </c>
      <c r="N19" s="86">
        <f>IFERROR($I19/P19,0)</f>
        <v>1073119.2909090908</v>
      </c>
      <c r="O19" s="87">
        <f t="shared" si="17"/>
        <v>925102.83699059556</v>
      </c>
      <c r="P19" s="88">
        <f>_xlfn.XLOOKUP(E19,'Total Maga'!B:B,'Total Maga'!F:F,1.12,FALSE)</f>
        <v>1.1000000000000001</v>
      </c>
      <c r="Q19" s="119">
        <f t="shared" si="18"/>
        <v>-59021.561000000002</v>
      </c>
      <c r="R19" s="120">
        <f t="shared" si="19"/>
        <v>0</v>
      </c>
      <c r="S19" s="157">
        <f>_xlfn.XLOOKUP(E19,'Total Maga'!B:B,'Total Maga'!K:K,0,FALSE)</f>
        <v>2.5000000000000071E-2</v>
      </c>
      <c r="T19" s="157">
        <f t="shared" si="6"/>
        <v>23127.570924764954</v>
      </c>
    </row>
    <row r="20" spans="1:20" s="53" customFormat="1" ht="12.6" customHeight="1" x14ac:dyDescent="0.25">
      <c r="B20" s="78" t="str">
        <f>IFERROR(VLOOKUP($E20,'Total Maga'!$B$3:$E$191,4,FALSE),"")</f>
        <v>MAVILA 2A</v>
      </c>
      <c r="C20" s="159" t="s">
        <v>230</v>
      </c>
      <c r="D20" s="159" t="s">
        <v>396</v>
      </c>
      <c r="E20" s="159" t="s">
        <v>332</v>
      </c>
      <c r="F20" s="160" t="s">
        <v>397</v>
      </c>
      <c r="G20" s="161">
        <v>153356.4</v>
      </c>
      <c r="H20" s="161">
        <v>0</v>
      </c>
      <c r="I20" s="82">
        <f t="shared" si="13"/>
        <v>153356.4</v>
      </c>
      <c r="J20" s="83">
        <v>45981</v>
      </c>
      <c r="K20" s="84">
        <v>47</v>
      </c>
      <c r="L20" s="84" t="s">
        <v>420</v>
      </c>
      <c r="M20" s="85" t="str">
        <f t="shared" si="16"/>
        <v>CXC</v>
      </c>
      <c r="N20" s="86">
        <f>IFERROR($I20/P20,0)</f>
        <v>140693.94495412841</v>
      </c>
      <c r="O20" s="87">
        <f t="shared" si="17"/>
        <v>121287.88358114519</v>
      </c>
      <c r="P20" s="88">
        <f>_xlfn.XLOOKUP(E20,'Total Maga'!B:B,'Total Maga'!F:F,1.12,FALSE)</f>
        <v>1.0900000000000001</v>
      </c>
      <c r="Q20" s="119">
        <f t="shared" si="18"/>
        <v>-7667.82</v>
      </c>
      <c r="R20" s="119">
        <f t="shared" si="19"/>
        <v>0</v>
      </c>
      <c r="S20" s="157">
        <f>_xlfn.XLOOKUP(E20,'Total Maga'!B:B,'Total Maga'!K:K,0,FALSE)</f>
        <v>1.5000000000000062E-2</v>
      </c>
      <c r="T20" s="157">
        <f t="shared" si="6"/>
        <v>1819.3182537171854</v>
      </c>
    </row>
    <row r="21" spans="1:20" s="53" customFormat="1" ht="12.6" customHeight="1" x14ac:dyDescent="0.25">
      <c r="B21" s="78" t="str">
        <f>IFERROR(VLOOKUP($E21,'Total Maga'!$B$3:$E$191,4,FALSE),"")</f>
        <v>MAVILA 2A</v>
      </c>
      <c r="C21" s="159" t="s">
        <v>230</v>
      </c>
      <c r="D21" s="159" t="s">
        <v>398</v>
      </c>
      <c r="E21" s="159" t="s">
        <v>332</v>
      </c>
      <c r="F21" s="160" t="s">
        <v>399</v>
      </c>
      <c r="G21" s="161"/>
      <c r="H21" s="161">
        <v>3222.16</v>
      </c>
      <c r="I21" s="82">
        <f t="shared" si="13"/>
        <v>64443.199999999997</v>
      </c>
      <c r="J21" s="83">
        <v>45981</v>
      </c>
      <c r="K21" s="84">
        <v>47</v>
      </c>
      <c r="L21" s="84" t="s">
        <v>420</v>
      </c>
      <c r="M21" s="85" t="str">
        <f t="shared" si="16"/>
        <v>CXC USD</v>
      </c>
      <c r="N21" s="86">
        <f t="shared" ref="N21:N22" si="21">IFERROR($I21/P21,0)</f>
        <v>59122.201834862375</v>
      </c>
      <c r="O21" s="87">
        <f t="shared" ref="O21:O22" si="22">N21/1.16</f>
        <v>50967.415374881362</v>
      </c>
      <c r="P21" s="88">
        <f>_xlfn.XLOOKUP(E21,'Total Maga'!B:B,'Total Maga'!F:F,1.12,FALSE)</f>
        <v>1.0900000000000001</v>
      </c>
      <c r="Q21" s="119">
        <f t="shared" ref="Q21:Q22" si="23">(G21*0.05)*-1</f>
        <v>0</v>
      </c>
      <c r="R21" s="119">
        <f t="shared" ref="R21:R22" si="24">H21*0.05*-1</f>
        <v>-161.108</v>
      </c>
      <c r="S21" s="157">
        <f>_xlfn.XLOOKUP(E21,'Total Maga'!B:B,'Total Maga'!K:K,0,FALSE)</f>
        <v>1.5000000000000062E-2</v>
      </c>
      <c r="T21" s="157">
        <f t="shared" si="6"/>
        <v>764.51123062322358</v>
      </c>
    </row>
    <row r="22" spans="1:20" s="53" customFormat="1" ht="12.6" customHeight="1" x14ac:dyDescent="0.25">
      <c r="B22" s="78" t="str">
        <f>IFERROR(VLOOKUP($E22,'Total Maga'!$B$3:$E$191,4,FALSE),"")</f>
        <v>MAVILA CONDO 4</v>
      </c>
      <c r="C22" s="79" t="s">
        <v>230</v>
      </c>
      <c r="D22" s="79" t="s">
        <v>412</v>
      </c>
      <c r="E22" s="79" t="s">
        <v>156</v>
      </c>
      <c r="F22" s="80" t="s">
        <v>413</v>
      </c>
      <c r="G22" s="81">
        <v>1121154.17</v>
      </c>
      <c r="H22" s="81">
        <v>0</v>
      </c>
      <c r="I22" s="82">
        <f t="shared" si="13"/>
        <v>1121154.17</v>
      </c>
      <c r="J22" s="83">
        <v>45982</v>
      </c>
      <c r="K22" s="84">
        <v>47</v>
      </c>
      <c r="L22" s="84" t="s">
        <v>384</v>
      </c>
      <c r="M22" s="85" t="str">
        <f t="shared" si="16"/>
        <v>CXC</v>
      </c>
      <c r="N22" s="86">
        <f t="shared" si="21"/>
        <v>1005519.4349775785</v>
      </c>
      <c r="O22" s="87">
        <f t="shared" si="22"/>
        <v>866827.09911860223</v>
      </c>
      <c r="P22" s="88">
        <f>_xlfn.XLOOKUP(E22,'Total Maga'!B:B,'Total Maga'!F:F,1.12,FALSE)</f>
        <v>1.115</v>
      </c>
      <c r="Q22" s="119">
        <f t="shared" si="23"/>
        <v>-56057.708500000001</v>
      </c>
      <c r="R22" s="119">
        <f t="shared" si="24"/>
        <v>0</v>
      </c>
      <c r="S22" s="157">
        <f>_xlfn.XLOOKUP(E22,'Total Maga'!B:B,'Total Maga'!K:K,0,FALSE)</f>
        <v>3.999999999999998E-2</v>
      </c>
      <c r="T22" s="157">
        <f t="shared" si="6"/>
        <v>34673.083964744073</v>
      </c>
    </row>
    <row r="23" spans="1:20" s="53" customFormat="1" ht="12.6" customHeight="1" x14ac:dyDescent="0.25">
      <c r="B23" s="78" t="str">
        <f>IFERROR(VLOOKUP($E23,'Total Maga'!$B$3:$E$191,4,FALSE),"")</f>
        <v>MAVILA 2A</v>
      </c>
      <c r="C23" s="79" t="s">
        <v>230</v>
      </c>
      <c r="D23" s="79" t="s">
        <v>414</v>
      </c>
      <c r="E23" s="79" t="s">
        <v>324</v>
      </c>
      <c r="F23" s="80" t="s">
        <v>415</v>
      </c>
      <c r="G23" s="81">
        <v>304249.26</v>
      </c>
      <c r="H23" s="81">
        <v>0</v>
      </c>
      <c r="I23" s="82">
        <f t="shared" si="13"/>
        <v>304249.26</v>
      </c>
      <c r="J23" s="83">
        <v>45982</v>
      </c>
      <c r="K23" s="84">
        <v>47</v>
      </c>
      <c r="L23" s="84" t="s">
        <v>384</v>
      </c>
      <c r="M23" s="85" t="str">
        <f t="shared" si="16"/>
        <v>CXC</v>
      </c>
      <c r="N23" s="86">
        <f>IFERROR($I23/P23,0)</f>
        <v>279127.76146788988</v>
      </c>
      <c r="O23" s="87">
        <f t="shared" si="17"/>
        <v>240627.38057576717</v>
      </c>
      <c r="P23" s="88">
        <f>_xlfn.XLOOKUP(E23,'Total Maga'!B:B,'Total Maga'!F:F,1.12,FALSE)</f>
        <v>1.0900000000000001</v>
      </c>
      <c r="Q23" s="119">
        <f t="shared" si="18"/>
        <v>-15212.463000000002</v>
      </c>
      <c r="R23" s="119">
        <f t="shared" si="19"/>
        <v>0</v>
      </c>
      <c r="S23" s="157">
        <f>_xlfn.XLOOKUP(E23,'Total Maga'!B:B,'Total Maga'!K:K,0,FALSE)</f>
        <v>1.5000000000000062E-2</v>
      </c>
      <c r="T23" s="157">
        <f t="shared" si="6"/>
        <v>3609.4107086365225</v>
      </c>
    </row>
    <row r="24" spans="1:20" s="53" customFormat="1" ht="12.6" customHeight="1" x14ac:dyDescent="0.25">
      <c r="B24" s="78" t="str">
        <f>IFERROR(VLOOKUP($E24,'Total Maga'!$B$3:$E$191,4,FALSE),"")</f>
        <v>MAVILA 2A</v>
      </c>
      <c r="C24" s="159" t="s">
        <v>230</v>
      </c>
      <c r="D24" s="159" t="s">
        <v>416</v>
      </c>
      <c r="E24" s="159" t="s">
        <v>417</v>
      </c>
      <c r="F24" s="160" t="s">
        <v>418</v>
      </c>
      <c r="G24" s="161">
        <v>1264895</v>
      </c>
      <c r="H24" s="161">
        <v>0</v>
      </c>
      <c r="I24" s="82">
        <f t="shared" si="13"/>
        <v>1264895</v>
      </c>
      <c r="J24" s="83">
        <v>45982</v>
      </c>
      <c r="K24" s="84">
        <v>47</v>
      </c>
      <c r="L24" s="84" t="s">
        <v>420</v>
      </c>
      <c r="M24" s="85" t="str">
        <f t="shared" si="16"/>
        <v>CXC</v>
      </c>
      <c r="N24" s="86">
        <f>IFERROR($I24/P24,0)</f>
        <v>1160454.1284403668</v>
      </c>
      <c r="O24" s="87">
        <f t="shared" si="17"/>
        <v>1000391.4900347991</v>
      </c>
      <c r="P24" s="88">
        <f>_xlfn.XLOOKUP(E24,'Total Maga'!B:B,'Total Maga'!F:F,1.12,FALSE)</f>
        <v>1.0900000000000001</v>
      </c>
      <c r="Q24" s="119">
        <f t="shared" si="18"/>
        <v>-63244.75</v>
      </c>
      <c r="R24" s="119">
        <f t="shared" si="19"/>
        <v>0</v>
      </c>
      <c r="S24" s="157">
        <f>_xlfn.XLOOKUP(E24,'Total Maga'!B:B,'Total Maga'!K:K,0,FALSE)</f>
        <v>1.5000000000000062E-2</v>
      </c>
      <c r="T24" s="157">
        <f t="shared" si="6"/>
        <v>15005.872350522048</v>
      </c>
    </row>
    <row r="25" spans="1:20" s="53" customFormat="1" ht="12.6" customHeight="1" x14ac:dyDescent="0.25">
      <c r="B25" s="78" t="str">
        <f>IFERROR(VLOOKUP($E25,'Total Maga'!$B$3:$E$191,4,FALSE),"")</f>
        <v>MAVILA CONDO 3</v>
      </c>
      <c r="C25" s="79" t="s">
        <v>230</v>
      </c>
      <c r="D25" s="79" t="s">
        <v>456</v>
      </c>
      <c r="E25" s="79" t="s">
        <v>154</v>
      </c>
      <c r="F25" s="80" t="s">
        <v>455</v>
      </c>
      <c r="G25" s="81">
        <v>8751.01</v>
      </c>
      <c r="H25" s="81">
        <v>0</v>
      </c>
      <c r="I25" s="82">
        <v>8751.01</v>
      </c>
      <c r="J25" s="83">
        <v>45988</v>
      </c>
      <c r="K25" s="84">
        <v>48</v>
      </c>
      <c r="L25" s="84" t="s">
        <v>423</v>
      </c>
      <c r="M25" s="85" t="str">
        <f>IF(H25=0,"CXC","CXC USD")</f>
        <v>CXC</v>
      </c>
      <c r="N25" s="86">
        <f>IFERROR($I25/P25,0)</f>
        <v>7848.4394618834085</v>
      </c>
      <c r="O25" s="87">
        <f>N25/1.16</f>
        <v>6765.8960878305252</v>
      </c>
      <c r="P25" s="88">
        <f>_xlfn.XLOOKUP(E25,'Total Maga'!B:B,'Total Maga'!F:F,1.12,FALSE)</f>
        <v>1.115</v>
      </c>
      <c r="Q25" s="119">
        <f>(G25*0.05)*-1</f>
        <v>-437.55050000000006</v>
      </c>
      <c r="R25" s="120">
        <f>H25*0.05*-1</f>
        <v>0</v>
      </c>
      <c r="S25" s="157">
        <f>_xlfn.XLOOKUP(E25,'Total Maga'!B:B,'Total Maga'!K:K,0,FALSE)</f>
        <v>3.999999999999998E-2</v>
      </c>
      <c r="T25" s="157">
        <f>O25*S25</f>
        <v>270.63584351322089</v>
      </c>
    </row>
    <row r="26" spans="1:20" s="53" customFormat="1" ht="12.6" customHeight="1" x14ac:dyDescent="0.25">
      <c r="B26" s="78" t="str">
        <f>IFERROR(VLOOKUP($E26,'Total Maga'!$B$3:$E$191,4,FALSE),"")</f>
        <v>MAVILA 1B</v>
      </c>
      <c r="C26" s="79" t="s">
        <v>230</v>
      </c>
      <c r="D26" s="79" t="s">
        <v>436</v>
      </c>
      <c r="E26" s="79" t="s">
        <v>94</v>
      </c>
      <c r="F26" s="80" t="s">
        <v>437</v>
      </c>
      <c r="G26" s="81">
        <v>88533.08</v>
      </c>
      <c r="H26" s="81">
        <v>0</v>
      </c>
      <c r="I26" s="82">
        <f t="shared" si="13"/>
        <v>88533.08</v>
      </c>
      <c r="J26" s="83">
        <v>45989</v>
      </c>
      <c r="K26" s="84">
        <v>48</v>
      </c>
      <c r="L26" s="84" t="s">
        <v>423</v>
      </c>
      <c r="M26" s="85" t="str">
        <f t="shared" si="16"/>
        <v>CXC</v>
      </c>
      <c r="N26" s="86">
        <f>IFERROR($I26/P26,0)</f>
        <v>81223.009174311926</v>
      </c>
      <c r="O26" s="87">
        <f t="shared" si="17"/>
        <v>70019.8354950965</v>
      </c>
      <c r="P26" s="88">
        <f>_xlfn.XLOOKUP(E26,'Total Maga'!B:B,'Total Maga'!F:F,1.12,FALSE)</f>
        <v>1.0900000000000001</v>
      </c>
      <c r="Q26" s="119">
        <f t="shared" si="18"/>
        <v>-4426.6540000000005</v>
      </c>
      <c r="R26" s="119">
        <f t="shared" si="19"/>
        <v>0</v>
      </c>
      <c r="S26" s="157">
        <f>_xlfn.XLOOKUP(E26,'Total Maga'!B:B,'Total Maga'!K:K,0,FALSE)</f>
        <v>1.5000000000000062E-2</v>
      </c>
      <c r="T26" s="157">
        <f t="shared" ref="T26" si="25">O26*S26</f>
        <v>1050.2975324264519</v>
      </c>
    </row>
    <row r="27" spans="1:20" s="53" customFormat="1" ht="12.6" customHeight="1" x14ac:dyDescent="0.25">
      <c r="B27" s="78" t="str">
        <f>IFERROR(VLOOKUP($E27,'Total Maga'!$B$3:$E$191,4,FALSE),"")</f>
        <v>MAVILA CONDO 4</v>
      </c>
      <c r="C27" s="79" t="s">
        <v>230</v>
      </c>
      <c r="D27" s="79" t="s">
        <v>440</v>
      </c>
      <c r="E27" s="79" t="s">
        <v>156</v>
      </c>
      <c r="F27" s="80" t="s">
        <v>441</v>
      </c>
      <c r="G27" s="81">
        <v>281613.09000000003</v>
      </c>
      <c r="H27" s="81">
        <v>0</v>
      </c>
      <c r="I27" s="82">
        <f t="shared" ref="I27:I29" si="26">G27+(H27*$K$2)</f>
        <v>281613.09000000003</v>
      </c>
      <c r="J27" s="83">
        <v>45989</v>
      </c>
      <c r="K27" s="84">
        <v>48</v>
      </c>
      <c r="L27" s="84" t="s">
        <v>423</v>
      </c>
      <c r="M27" s="85" t="str">
        <f t="shared" si="16"/>
        <v>CXC</v>
      </c>
      <c r="N27" s="86">
        <f>IFERROR($I27/P27,0)</f>
        <v>252567.79372197311</v>
      </c>
      <c r="O27" s="87">
        <f t="shared" ref="O27:O28" si="27">N27/1.16</f>
        <v>217730.85665687339</v>
      </c>
      <c r="P27" s="88">
        <f>_xlfn.XLOOKUP(E27,'Total Maga'!B:B,'Total Maga'!F:F,1.12,FALSE)</f>
        <v>1.115</v>
      </c>
      <c r="Q27" s="119">
        <f t="shared" ref="Q27:Q28" si="28">(G27*0.05)*-1</f>
        <v>-14080.654500000002</v>
      </c>
      <c r="R27" s="120">
        <f t="shared" ref="R27:R28" si="29">H27*0.05*-1</f>
        <v>0</v>
      </c>
      <c r="S27" s="157">
        <f>_xlfn.XLOOKUP(E27,'Total Maga'!B:B,'Total Maga'!K:K,0,FALSE)</f>
        <v>3.999999999999998E-2</v>
      </c>
      <c r="T27" s="157">
        <f t="shared" si="6"/>
        <v>8709.2342662749306</v>
      </c>
    </row>
    <row r="28" spans="1:20" s="53" customFormat="1" ht="12.6" customHeight="1" x14ac:dyDescent="0.25">
      <c r="B28" s="78" t="str">
        <f>IFERROR(VLOOKUP($E28,'Total Maga'!$B$3:$E$191,4,FALSE),"")</f>
        <v>MAVILA CONDO 4</v>
      </c>
      <c r="C28" s="79" t="s">
        <v>230</v>
      </c>
      <c r="D28" s="79" t="s">
        <v>438</v>
      </c>
      <c r="E28" s="79" t="s">
        <v>156</v>
      </c>
      <c r="F28" s="80" t="s">
        <v>439</v>
      </c>
      <c r="G28" s="81">
        <v>315881.40000000002</v>
      </c>
      <c r="H28" s="81">
        <v>0</v>
      </c>
      <c r="I28" s="82">
        <f t="shared" si="26"/>
        <v>315881.40000000002</v>
      </c>
      <c r="J28" s="83">
        <v>45989</v>
      </c>
      <c r="K28" s="84">
        <v>48</v>
      </c>
      <c r="L28" s="84" t="s">
        <v>423</v>
      </c>
      <c r="M28" s="85" t="str">
        <f t="shared" ref="M28" si="30">IF(H28=0,"CXC","CXC USD")</f>
        <v>CXC</v>
      </c>
      <c r="N28" s="86">
        <f t="shared" ref="N28" si="31">IFERROR($I28/P28,0)</f>
        <v>283301.70403587446</v>
      </c>
      <c r="O28" s="87">
        <f t="shared" si="27"/>
        <v>244225.60692747799</v>
      </c>
      <c r="P28" s="88">
        <f>_xlfn.XLOOKUP(E28,'Total Maga'!B:B,'Total Maga'!F:F,1.12,FALSE)</f>
        <v>1.115</v>
      </c>
      <c r="Q28" s="119">
        <f t="shared" si="28"/>
        <v>-15794.070000000002</v>
      </c>
      <c r="R28" s="120">
        <f t="shared" si="29"/>
        <v>0</v>
      </c>
      <c r="S28" s="157">
        <f>_xlfn.XLOOKUP(E28,'Total Maga'!B:B,'Total Maga'!K:K,0,FALSE)</f>
        <v>3.999999999999998E-2</v>
      </c>
      <c r="T28" s="157">
        <f t="shared" si="6"/>
        <v>9769.0242770991154</v>
      </c>
    </row>
    <row r="29" spans="1:20" s="53" customFormat="1" ht="12.6" customHeight="1" x14ac:dyDescent="0.25">
      <c r="B29" s="78" t="str">
        <f>IFERROR(VLOOKUP($E29,'Total Maga'!$B$3:$E$191,4,FALSE),"")</f>
        <v>MAVILA ALBERCAS</v>
      </c>
      <c r="C29" s="79" t="s">
        <v>230</v>
      </c>
      <c r="D29" s="79" t="s">
        <v>442</v>
      </c>
      <c r="E29" s="79" t="s">
        <v>291</v>
      </c>
      <c r="F29" s="80" t="s">
        <v>443</v>
      </c>
      <c r="G29" s="81">
        <v>597063.31000000006</v>
      </c>
      <c r="H29" s="81">
        <v>0</v>
      </c>
      <c r="I29" s="82">
        <f t="shared" si="26"/>
        <v>597063.31000000006</v>
      </c>
      <c r="J29" s="83">
        <v>45989</v>
      </c>
      <c r="K29" s="84">
        <v>48</v>
      </c>
      <c r="L29" s="84" t="s">
        <v>423</v>
      </c>
      <c r="M29" s="85" t="str">
        <f t="shared" ref="M29" si="32">IF(H29=0,"CXC","CXC USD")</f>
        <v>CXC</v>
      </c>
      <c r="N29" s="86">
        <f t="shared" ref="N29" si="33">IFERROR($I29/P29,0)</f>
        <v>547764.504587156</v>
      </c>
      <c r="O29" s="87">
        <f t="shared" ref="O29" si="34">N29/1.16</f>
        <v>472210.77981651382</v>
      </c>
      <c r="P29" s="88">
        <f>_xlfn.XLOOKUP(E29,'Total Maga'!B:B,'Total Maga'!F:F,1.12,FALSE)</f>
        <v>1.0900000000000001</v>
      </c>
      <c r="Q29" s="119">
        <f t="shared" si="4"/>
        <v>-29853.165500000003</v>
      </c>
      <c r="R29" s="120">
        <f t="shared" si="5"/>
        <v>0</v>
      </c>
      <c r="S29" s="157">
        <f>_xlfn.XLOOKUP(E29,'Total Maga'!B:B,'Total Maga'!K:K,0,FALSE)</f>
        <v>1.5000000000000062E-2</v>
      </c>
      <c r="T29" s="157">
        <f t="shared" si="6"/>
        <v>7083.1616972477368</v>
      </c>
    </row>
    <row r="30" spans="1:20" ht="12.6" customHeight="1" x14ac:dyDescent="0.25">
      <c r="A30" s="53"/>
      <c r="B30" s="53"/>
      <c r="C30" s="91"/>
      <c r="D30" s="92"/>
      <c r="E30" s="93"/>
      <c r="F30" s="93" t="s">
        <v>231</v>
      </c>
      <c r="G30" s="97">
        <f>SUBTOTAL(9,G8:G29)</f>
        <v>7007445.1500000004</v>
      </c>
      <c r="H30" s="97">
        <f>SUBTOTAL(9,H8:H29)</f>
        <v>797.88000000000011</v>
      </c>
      <c r="I30" s="97">
        <f>SUBTOTAL(9,I8:I29)</f>
        <v>7023402.75</v>
      </c>
      <c r="J30" s="95"/>
      <c r="K30" s="73" t="s">
        <v>232</v>
      </c>
      <c r="L30" s="67" t="s">
        <v>233</v>
      </c>
      <c r="M30" s="53"/>
      <c r="N30" s="121">
        <f>SUBTOTAL(9,N8:N29)</f>
        <v>6370320.6876219725</v>
      </c>
      <c r="O30" s="97">
        <f>SUBTOTAL(9,O8:O29)</f>
        <v>5491655.7651913576</v>
      </c>
      <c r="P30" s="52"/>
      <c r="Q30" s="116">
        <f>SUBTOTAL(9,Q8:Q29)</f>
        <v>-350372.25750000001</v>
      </c>
      <c r="R30" s="122">
        <f>SUBTOTAL(9,R8:R29)</f>
        <v>-39.894000000000005</v>
      </c>
      <c r="S30" s="53"/>
    </row>
    <row r="31" spans="1:20" ht="12.6" customHeight="1" x14ac:dyDescent="0.25">
      <c r="A31" s="53"/>
      <c r="B31" s="53"/>
      <c r="C31" s="71" t="s">
        <v>30</v>
      </c>
      <c r="D31" s="64"/>
      <c r="E31" s="64"/>
      <c r="F31" s="64"/>
      <c r="G31" s="65"/>
      <c r="H31" s="65"/>
      <c r="I31" s="65"/>
      <c r="J31" s="72"/>
      <c r="K31" s="73" t="s">
        <v>232</v>
      </c>
      <c r="L31" s="60" t="s">
        <v>227</v>
      </c>
      <c r="M31" s="53"/>
      <c r="N31" s="61"/>
      <c r="P31" s="52"/>
      <c r="S31" s="150">
        <f>N30+Q30+(R30*20)</f>
        <v>6019150.5501219723</v>
      </c>
    </row>
    <row r="32" spans="1:20" ht="12.6" customHeight="1" x14ac:dyDescent="0.25">
      <c r="A32" s="53"/>
      <c r="B32" s="45" t="s">
        <v>228</v>
      </c>
      <c r="C32" s="46" t="s">
        <v>213</v>
      </c>
      <c r="D32" s="47" t="s">
        <v>214</v>
      </c>
      <c r="E32" s="47" t="s">
        <v>215</v>
      </c>
      <c r="F32" s="47" t="s">
        <v>216</v>
      </c>
      <c r="G32" s="48" t="s">
        <v>217</v>
      </c>
      <c r="H32" s="48" t="s">
        <v>218</v>
      </c>
      <c r="I32" s="48" t="s">
        <v>219</v>
      </c>
      <c r="J32" s="49" t="s">
        <v>229</v>
      </c>
      <c r="K32" s="49"/>
      <c r="L32" s="49" t="str">
        <f>J32</f>
        <v>* Fecha Factura</v>
      </c>
      <c r="M32" s="48" t="str">
        <f t="shared" ref="M32:M33" si="35">IF(H32=0,"CXC","CXC USD")</f>
        <v>CXC USD</v>
      </c>
      <c r="N32" s="48" t="s">
        <v>222</v>
      </c>
      <c r="O32" s="48" t="s">
        <v>223</v>
      </c>
      <c r="P32" s="49"/>
      <c r="Q32" s="49" t="s">
        <v>304</v>
      </c>
      <c r="R32" s="49" t="s">
        <v>305</v>
      </c>
    </row>
    <row r="33" spans="1:20" ht="12.6" customHeight="1" x14ac:dyDescent="0.25">
      <c r="A33" s="53"/>
      <c r="B33" s="78" t="str">
        <f>IFERROR(VLOOKUP($E33,'Total Maga'!$B$3:$E$191,4,FALSE),"")</f>
        <v>ALMACEN GENERAL</v>
      </c>
      <c r="C33" s="79" t="s">
        <v>245</v>
      </c>
      <c r="D33" s="79" t="s">
        <v>75</v>
      </c>
      <c r="E33" s="79" t="s">
        <v>74</v>
      </c>
      <c r="F33" s="80" t="s">
        <v>269</v>
      </c>
      <c r="G33" s="81">
        <v>3872.27</v>
      </c>
      <c r="H33" s="81">
        <v>0</v>
      </c>
      <c r="I33" s="82">
        <f t="shared" ref="I33:I34" si="36">G33+(H33*$K$2)</f>
        <v>3872.27</v>
      </c>
      <c r="J33" s="83">
        <v>45619</v>
      </c>
      <c r="K33" s="84">
        <v>47</v>
      </c>
      <c r="L33" s="85" t="s">
        <v>321</v>
      </c>
      <c r="M33" s="85" t="str">
        <f t="shared" si="35"/>
        <v>CXC</v>
      </c>
      <c r="N33" s="86">
        <f t="shared" ref="N33" si="37">IFERROR($I33/P33,0)</f>
        <v>3872.27</v>
      </c>
      <c r="O33" s="87">
        <f t="shared" ref="O33" si="38">N33/1.16</f>
        <v>3338.1637931034484</v>
      </c>
      <c r="P33" s="88">
        <v>1</v>
      </c>
      <c r="Q33" s="119"/>
      <c r="R33" s="120"/>
      <c r="S33" s="157">
        <f>_xlfn.XLOOKUP(E33,'Total Maga'!B:B,'Total Maga'!K:K,0,FALSE)</f>
        <v>0</v>
      </c>
      <c r="T33" s="157">
        <f t="shared" ref="T33:T35" si="39">O33*S33</f>
        <v>0</v>
      </c>
    </row>
    <row r="34" spans="1:20" ht="12.6" customHeight="1" x14ac:dyDescent="0.25">
      <c r="A34" s="53"/>
      <c r="B34" s="78" t="str">
        <f>IFERROR(VLOOKUP($E34,'Total Maga'!$B$3:$E$191,4,FALSE),"")</f>
        <v>ALMACEN GENERAL</v>
      </c>
      <c r="C34" s="79" t="s">
        <v>245</v>
      </c>
      <c r="D34" s="79" t="s">
        <v>298</v>
      </c>
      <c r="E34" s="79" t="s">
        <v>75</v>
      </c>
      <c r="F34" s="80" t="s">
        <v>296</v>
      </c>
      <c r="G34" s="81">
        <f>1202391.35-228890.94-423859.64-334674.18</f>
        <v>214966.59000000014</v>
      </c>
      <c r="H34" s="81">
        <v>0</v>
      </c>
      <c r="I34" s="82">
        <f t="shared" si="36"/>
        <v>214966.59000000014</v>
      </c>
      <c r="J34" s="83">
        <v>45777</v>
      </c>
      <c r="K34" s="84">
        <v>17</v>
      </c>
      <c r="L34" s="85" t="s">
        <v>321</v>
      </c>
      <c r="M34" s="85" t="str">
        <f t="shared" ref="M34:M35" si="40">IF(H34=0,"CXC","CXC USD")</f>
        <v>CXC</v>
      </c>
      <c r="N34" s="86">
        <f t="shared" ref="N34:N35" si="41">IFERROR($I34/P34,0)</f>
        <v>214966.59000000014</v>
      </c>
      <c r="O34" s="87">
        <f t="shared" ref="O34:O38" si="42">N34/1.16</f>
        <v>185316.0258620691</v>
      </c>
      <c r="P34" s="88">
        <v>1</v>
      </c>
      <c r="Q34" s="119"/>
      <c r="R34" s="120"/>
      <c r="S34" s="157">
        <f>_xlfn.XLOOKUP(E34,'Total Maga'!B:B,'Total Maga'!K:K,0,FALSE)</f>
        <v>0</v>
      </c>
      <c r="T34" s="157">
        <f t="shared" si="39"/>
        <v>0</v>
      </c>
    </row>
    <row r="35" spans="1:20" ht="12.6" customHeight="1" x14ac:dyDescent="0.25">
      <c r="A35" s="53"/>
      <c r="B35" s="78" t="str">
        <f>IFERROR(VLOOKUP($E35,'Total Maga'!$B$3:$E$191,4,FALSE),"")</f>
        <v>ALMACEN GENERAL</v>
      </c>
      <c r="C35" s="79" t="s">
        <v>245</v>
      </c>
      <c r="D35" s="79" t="s">
        <v>312</v>
      </c>
      <c r="E35" s="79" t="s">
        <v>75</v>
      </c>
      <c r="F35" s="80" t="s">
        <v>313</v>
      </c>
      <c r="G35" s="81">
        <f>1048534.73-133657.28-113285.86-211190.65</f>
        <v>590400.93999999994</v>
      </c>
      <c r="H35" s="81">
        <v>0</v>
      </c>
      <c r="I35" s="82">
        <f t="shared" ref="I35" si="43">G35+(H35*$K$2)</f>
        <v>590400.93999999994</v>
      </c>
      <c r="J35" s="83">
        <v>45822</v>
      </c>
      <c r="K35" s="84">
        <v>24</v>
      </c>
      <c r="L35" s="85" t="s">
        <v>321</v>
      </c>
      <c r="M35" s="85" t="str">
        <f t="shared" si="40"/>
        <v>CXC</v>
      </c>
      <c r="N35" s="86">
        <f t="shared" si="41"/>
        <v>590400.93999999994</v>
      </c>
      <c r="O35" s="87">
        <f t="shared" si="42"/>
        <v>508966.3275862069</v>
      </c>
      <c r="P35" s="88">
        <v>1</v>
      </c>
      <c r="Q35" s="119"/>
      <c r="R35" s="120"/>
      <c r="S35" s="157">
        <f>_xlfn.XLOOKUP(E35,'Total Maga'!B:B,'Total Maga'!K:K,0,FALSE)</f>
        <v>0</v>
      </c>
      <c r="T35" s="157">
        <f t="shared" si="39"/>
        <v>0</v>
      </c>
    </row>
    <row r="36" spans="1:20" ht="12.6" customHeight="1" x14ac:dyDescent="0.25">
      <c r="A36" s="53"/>
      <c r="B36" s="78" t="str">
        <f>IFERROR(VLOOKUP($E36,'Total Maga'!$B$3:$E$191,4,FALSE),"")</f>
        <v/>
      </c>
      <c r="C36" s="79" t="s">
        <v>270</v>
      </c>
      <c r="D36" s="79" t="s">
        <v>286</v>
      </c>
      <c r="E36" s="79" t="s">
        <v>287</v>
      </c>
      <c r="F36" s="80" t="s">
        <v>272</v>
      </c>
      <c r="G36" s="81">
        <v>220188.28</v>
      </c>
      <c r="H36" s="81">
        <v>0</v>
      </c>
      <c r="I36" s="82">
        <f>G36+(H36*$K$2)</f>
        <v>220188.28</v>
      </c>
      <c r="J36" s="83">
        <v>45748</v>
      </c>
      <c r="K36" s="84">
        <v>1</v>
      </c>
      <c r="L36" s="85" t="s">
        <v>292</v>
      </c>
      <c r="M36" s="85" t="str">
        <f t="shared" ref="M36" si="44">IF(H36=0,"CXC","CXC USD")</f>
        <v>CXC</v>
      </c>
      <c r="N36" s="86">
        <f t="shared" ref="N36" si="45">IFERROR($I36/P36,0)</f>
        <v>196596.67857142855</v>
      </c>
      <c r="O36" s="87">
        <f t="shared" si="42"/>
        <v>169479.89532019704</v>
      </c>
      <c r="P36" s="88">
        <f>_xlfn.XLOOKUP(E36,'Total Maga'!B:B,'Total Maga'!F:F,1.12,FALSE)</f>
        <v>1.1200000000000001</v>
      </c>
      <c r="Q36" s="119"/>
      <c r="R36" s="120"/>
      <c r="S36" s="157">
        <f>_xlfn.XLOOKUP(E36,'Total Maga'!B:B,'Total Maga'!K:K,0,FALSE)</f>
        <v>0</v>
      </c>
      <c r="T36" s="157">
        <f t="shared" ref="T36:T38" si="46">O36*S36</f>
        <v>0</v>
      </c>
    </row>
    <row r="37" spans="1:20" ht="12.6" customHeight="1" x14ac:dyDescent="0.25">
      <c r="A37" s="53"/>
      <c r="B37" s="78" t="str">
        <f>IFERROR(VLOOKUP($E37,'Total Maga'!$B$3:$E$191,4,FALSE),"")</f>
        <v>PESCADERO CASA 45</v>
      </c>
      <c r="C37" s="79" t="s">
        <v>447</v>
      </c>
      <c r="D37" s="79" t="s">
        <v>448</v>
      </c>
      <c r="E37" s="79" t="s">
        <v>306</v>
      </c>
      <c r="F37" s="80" t="s">
        <v>451</v>
      </c>
      <c r="G37" s="81">
        <v>0</v>
      </c>
      <c r="H37" s="81">
        <v>0</v>
      </c>
      <c r="I37" s="82">
        <v>0</v>
      </c>
      <c r="J37" s="83">
        <v>45989</v>
      </c>
      <c r="K37" s="84">
        <v>48</v>
      </c>
      <c r="L37" s="84" t="s">
        <v>423</v>
      </c>
      <c r="M37" s="85" t="str">
        <f t="shared" ref="M37:M38" si="47">IF(H37=0,"CXC","CXC USD")</f>
        <v>CXC</v>
      </c>
      <c r="N37" s="86">
        <f t="shared" ref="N37:N38" si="48">IFERROR($I37/P37,0)</f>
        <v>0</v>
      </c>
      <c r="O37" s="87">
        <f t="shared" si="42"/>
        <v>0</v>
      </c>
      <c r="P37" s="88">
        <f>_xlfn.XLOOKUP(E37,'Total Maga'!B:B,'Total Maga'!F:F,1.12,FALSE)</f>
        <v>1.1499999999999999</v>
      </c>
      <c r="Q37" s="119"/>
      <c r="R37" s="120"/>
      <c r="S37" s="157">
        <f>_xlfn.XLOOKUP(E37,'Total Maga'!B:B,'Total Maga'!K:K,0,FALSE)</f>
        <v>9.4999999999999918E-2</v>
      </c>
      <c r="T37" s="157">
        <f t="shared" si="46"/>
        <v>0</v>
      </c>
    </row>
    <row r="38" spans="1:20" ht="12.6" customHeight="1" x14ac:dyDescent="0.25">
      <c r="A38" s="53"/>
      <c r="B38" s="78" t="str">
        <f>IFERROR(VLOOKUP($E38,'Total Maga'!$B$3:$E$191,4,FALSE),"")</f>
        <v/>
      </c>
      <c r="C38" s="79" t="s">
        <v>447</v>
      </c>
      <c r="D38" s="79" t="s">
        <v>449</v>
      </c>
      <c r="E38" s="79" t="s">
        <v>450</v>
      </c>
      <c r="F38" s="80" t="s">
        <v>452</v>
      </c>
      <c r="G38" s="81">
        <v>0</v>
      </c>
      <c r="H38" s="81">
        <v>0</v>
      </c>
      <c r="I38" s="82">
        <v>0</v>
      </c>
      <c r="J38" s="83">
        <v>45989</v>
      </c>
      <c r="K38" s="84">
        <v>48</v>
      </c>
      <c r="L38" s="84" t="s">
        <v>423</v>
      </c>
      <c r="M38" s="85" t="str">
        <f t="shared" si="47"/>
        <v>CXC</v>
      </c>
      <c r="N38" s="86">
        <f t="shared" si="48"/>
        <v>0</v>
      </c>
      <c r="O38" s="87">
        <f t="shared" si="42"/>
        <v>0</v>
      </c>
      <c r="P38" s="88">
        <f>_xlfn.XLOOKUP(E38,'Total Maga'!B:B,'Total Maga'!F:F,1.12,FALSE)</f>
        <v>1.1200000000000001</v>
      </c>
      <c r="Q38" s="119"/>
      <c r="R38" s="120"/>
      <c r="S38" s="157">
        <f>_xlfn.XLOOKUP(E38,'Total Maga'!B:B,'Total Maga'!K:K,0,FALSE)</f>
        <v>0</v>
      </c>
      <c r="T38" s="157">
        <f t="shared" si="46"/>
        <v>0</v>
      </c>
    </row>
    <row r="39" spans="1:20" ht="12.6" customHeight="1" x14ac:dyDescent="0.25">
      <c r="A39" s="53"/>
      <c r="B39" s="78" t="str">
        <f>IFERROR(VLOOKUP($E39,'Total Maga'!$B$3:$E$191,4,FALSE),"")</f>
        <v/>
      </c>
      <c r="C39" s="79"/>
      <c r="D39" s="79"/>
      <c r="E39" s="79"/>
      <c r="F39" s="80"/>
      <c r="G39" s="81"/>
      <c r="H39" s="81">
        <v>0</v>
      </c>
      <c r="I39" s="82">
        <f t="shared" ref="I39" si="49">G39+(H39*$K$2)</f>
        <v>0</v>
      </c>
      <c r="J39" s="83"/>
      <c r="K39" s="84">
        <v>0</v>
      </c>
      <c r="L39" s="84">
        <v>0</v>
      </c>
      <c r="M39" s="85"/>
      <c r="N39" s="86"/>
      <c r="O39" s="87"/>
      <c r="P39" s="88"/>
      <c r="Q39" s="119"/>
      <c r="R39" s="120"/>
    </row>
    <row r="40" spans="1:20" ht="12.6" customHeight="1" x14ac:dyDescent="0.25">
      <c r="A40" s="53"/>
      <c r="B40" s="53"/>
      <c r="C40" s="91"/>
      <c r="D40" s="92"/>
      <c r="E40" s="93"/>
      <c r="F40" s="93" t="s">
        <v>231</v>
      </c>
      <c r="G40" s="94">
        <f>SUBTOTAL(9,G33:G39)</f>
        <v>1029428.0800000001</v>
      </c>
      <c r="H40" s="94">
        <f>SUBTOTAL(9,H33:H39)</f>
        <v>0</v>
      </c>
      <c r="I40" s="94">
        <f>SUBTOTAL(9,I33:I39)</f>
        <v>1029428.0800000001</v>
      </c>
      <c r="J40" s="95"/>
      <c r="K40" s="73" t="s">
        <v>232</v>
      </c>
      <c r="L40" s="67" t="s">
        <v>233</v>
      </c>
      <c r="M40" s="53"/>
      <c r="N40" s="97">
        <f>SUBTOTAL(9,N33:N39)</f>
        <v>1005836.4785714286</v>
      </c>
      <c r="O40" s="97">
        <f>SUBTOTAL(9,O33:O39)</f>
        <v>867100.41256157658</v>
      </c>
      <c r="P40" s="52"/>
    </row>
    <row r="42" spans="1:20" ht="12.6" customHeight="1" x14ac:dyDescent="0.25">
      <c r="B42" s="53"/>
      <c r="C42" s="123"/>
      <c r="D42" s="123"/>
      <c r="E42" s="124"/>
      <c r="F42" s="124" t="s">
        <v>284</v>
      </c>
      <c r="G42" s="125">
        <f>SUBTOTAL(9,G2:G41)</f>
        <v>8036873.2299999995</v>
      </c>
      <c r="H42" s="125">
        <f>SUBTOTAL(9,H2:H41)</f>
        <v>797.88000000000011</v>
      </c>
      <c r="I42" s="125">
        <f>SUBTOTAL(9,I2:I41)</f>
        <v>8052830.8299999991</v>
      </c>
      <c r="J42" s="126"/>
      <c r="K42" s="126"/>
      <c r="L42" s="126"/>
      <c r="M42" s="126"/>
      <c r="N42" s="125">
        <f>SUBTOTAL(9,N2:N41)</f>
        <v>7376157.1661934005</v>
      </c>
      <c r="O42" s="125">
        <f>SUBTOTAL(9,O2:O41)</f>
        <v>6358756.1777529335</v>
      </c>
    </row>
    <row r="43" spans="1:20" ht="12.6" customHeight="1" x14ac:dyDescent="0.25">
      <c r="N43" s="112">
        <f>N42+Q30</f>
        <v>7025784.9086934002</v>
      </c>
    </row>
    <row r="44" spans="1:20" ht="12.6" customHeight="1" x14ac:dyDescent="0.25">
      <c r="F44">
        <v>618959.46</v>
      </c>
    </row>
    <row r="45" spans="1:20" ht="15" x14ac:dyDescent="0.25">
      <c r="B45" s="127"/>
      <c r="C45" s="127"/>
      <c r="D45" s="127"/>
      <c r="E45" s="127"/>
      <c r="F45" s="127"/>
      <c r="G45" s="128">
        <f>G42+DOI!G69</f>
        <v>35528367.079999998</v>
      </c>
      <c r="H45" s="128">
        <f>H42+DOI!H69</f>
        <v>797.88000000000011</v>
      </c>
      <c r="I45" s="128">
        <f>I42+DOI!I69</f>
        <v>35544324.68</v>
      </c>
      <c r="J45" s="127"/>
      <c r="K45" s="127"/>
      <c r="L45" s="127"/>
      <c r="M45" s="127"/>
      <c r="N45" s="128">
        <f>N42+DOI!N69</f>
        <v>32076964.022764783</v>
      </c>
      <c r="O45" s="128">
        <f>O42+DOI!O69</f>
        <v>28055472.811348956</v>
      </c>
    </row>
    <row r="46" spans="1:20" ht="12.6" customHeight="1" x14ac:dyDescent="0.25">
      <c r="N46" s="112">
        <f>N43+DOI!N70</f>
        <v>31035169.704764783</v>
      </c>
    </row>
    <row r="48" spans="1:20" ht="12.6" customHeight="1" x14ac:dyDescent="0.25">
      <c r="F48" s="110" t="s">
        <v>255</v>
      </c>
      <c r="G48" s="94">
        <f>SUBTOTAL(9,G2:G42)</f>
        <v>8036873.2299999995</v>
      </c>
      <c r="H48" s="94">
        <f>SUBTOTAL(9,H2:H42)</f>
        <v>797.88000000000011</v>
      </c>
      <c r="I48" s="94">
        <f>SUBTOTAL(9,I2:I39)</f>
        <v>8052830.8299999991</v>
      </c>
    </row>
    <row r="49" spans="3:9" ht="12.6" customHeight="1" x14ac:dyDescent="0.25">
      <c r="G49" s="111">
        <v>3234237.2879999997</v>
      </c>
      <c r="H49" s="111">
        <v>3222.16</v>
      </c>
      <c r="I49" s="111">
        <v>8396825.3351600002</v>
      </c>
    </row>
    <row r="50" spans="3:9" ht="12.6" customHeight="1" x14ac:dyDescent="0.25">
      <c r="G50" s="112">
        <f>G49-G48</f>
        <v>-4802635.9419999998</v>
      </c>
      <c r="H50" s="112">
        <f>H49-H48</f>
        <v>2424.2799999999997</v>
      </c>
      <c r="I50" s="112">
        <f>I49-I48</f>
        <v>343994.50516000111</v>
      </c>
    </row>
    <row r="52" spans="3:9" ht="12.6" customHeight="1" x14ac:dyDescent="0.25">
      <c r="C52" t="s">
        <v>299</v>
      </c>
      <c r="F52" s="155" t="s">
        <v>329</v>
      </c>
      <c r="G52" s="156">
        <f>SUMIF($L$2:$L$45,$F52,G2:G45)</f>
        <v>0</v>
      </c>
      <c r="H52" s="156">
        <f>SUMIF($L$2:$L$45,$F52,H2:H45)</f>
        <v>0</v>
      </c>
      <c r="I52" s="155"/>
    </row>
    <row r="53" spans="3:9" ht="12.6" customHeight="1" x14ac:dyDescent="0.25">
      <c r="C53" t="s">
        <v>300</v>
      </c>
    </row>
    <row r="54" spans="3:9" ht="12.6" customHeight="1" x14ac:dyDescent="0.25">
      <c r="C54" t="s">
        <v>301</v>
      </c>
    </row>
    <row r="61" spans="3:9" ht="12.6" customHeight="1" x14ac:dyDescent="0.25">
      <c r="C61" t="s">
        <v>302</v>
      </c>
    </row>
  </sheetData>
  <autoFilter ref="A2:R39" xr:uid="{0321515D-5120-4D75-9EC8-BB50B9943E87}"/>
  <sortState xmlns:xlrd2="http://schemas.microsoft.com/office/spreadsheetml/2017/richdata2" ref="D26:H29">
    <sortCondition ref="D26:D29"/>
  </sortState>
  <conditionalFormatting sqref="G39:I40 G30:I30 G2:G7 G8:H29">
    <cfRule type="cellIs" dxfId="115" priority="538" operator="lessThan">
      <formula>0</formula>
    </cfRule>
  </conditionalFormatting>
  <conditionalFormatting sqref="G15:G23">
    <cfRule type="cellIs" dxfId="114" priority="25" operator="lessThan">
      <formula>0</formula>
    </cfRule>
  </conditionalFormatting>
  <conditionalFormatting sqref="G24:G25 G27">
    <cfRule type="cellIs" dxfId="113" priority="550" operator="lessThan">
      <formula>0</formula>
    </cfRule>
  </conditionalFormatting>
  <conditionalFormatting sqref="G26:G28">
    <cfRule type="cellIs" dxfId="112" priority="46" operator="lessThan">
      <formula>0</formula>
    </cfRule>
  </conditionalFormatting>
  <conditionalFormatting sqref="G31:G34">
    <cfRule type="cellIs" dxfId="111" priority="248" operator="lessThan">
      <formula>0</formula>
    </cfRule>
  </conditionalFormatting>
  <conditionalFormatting sqref="G34:G35">
    <cfRule type="cellIs" dxfId="110" priority="88" operator="lessThan">
      <formula>0</formula>
    </cfRule>
  </conditionalFormatting>
  <conditionalFormatting sqref="G35">
    <cfRule type="cellIs" dxfId="109" priority="85" operator="lessThan">
      <formula>0</formula>
    </cfRule>
  </conditionalFormatting>
  <conditionalFormatting sqref="G36">
    <cfRule type="cellIs" dxfId="108" priority="59" operator="lessThan">
      <formula>0</formula>
    </cfRule>
  </conditionalFormatting>
  <conditionalFormatting sqref="G37:G38">
    <cfRule type="cellIs" dxfId="107" priority="9" operator="lessThan">
      <formula>0</formula>
    </cfRule>
    <cfRule type="cellIs" dxfId="106" priority="12" operator="lessThan">
      <formula>0</formula>
    </cfRule>
  </conditionalFormatting>
  <conditionalFormatting sqref="G39:I39 G8:H13">
    <cfRule type="cellIs" dxfId="105" priority="354" operator="lessThan">
      <formula>0</formula>
    </cfRule>
  </conditionalFormatting>
  <conditionalFormatting sqref="G42">
    <cfRule type="cellIs" dxfId="104" priority="456" operator="lessThan">
      <formula>0</formula>
    </cfRule>
  </conditionalFormatting>
  <conditionalFormatting sqref="G15:H26">
    <cfRule type="cellIs" dxfId="103" priority="24" operator="lessThan">
      <formula>0</formula>
    </cfRule>
  </conditionalFormatting>
  <conditionalFormatting sqref="G24:H25">
    <cfRule type="cellIs" dxfId="102" priority="421" operator="lessThan">
      <formula>0</formula>
    </cfRule>
  </conditionalFormatting>
  <conditionalFormatting sqref="G27:H27 H28 G24:H25">
    <cfRule type="cellIs" dxfId="101" priority="549" operator="lessThan">
      <formula>0</formula>
    </cfRule>
  </conditionalFormatting>
  <conditionalFormatting sqref="G27:H29">
    <cfRule type="cellIs" dxfId="100" priority="287" operator="lessThan">
      <formula>0</formula>
    </cfRule>
  </conditionalFormatting>
  <conditionalFormatting sqref="G36:H38 I8:I29">
    <cfRule type="cellIs" dxfId="99" priority="10" operator="lessThan">
      <formula>0</formula>
    </cfRule>
    <cfRule type="cellIs" dxfId="98" priority="11" operator="lessThan">
      <formula>0</formula>
    </cfRule>
  </conditionalFormatting>
  <conditionalFormatting sqref="G2:I7">
    <cfRule type="cellIs" dxfId="97" priority="536" operator="lessThan">
      <formula>0</formula>
    </cfRule>
    <cfRule type="cellIs" dxfId="96" priority="537" operator="lessThan">
      <formula>0</formula>
    </cfRule>
  </conditionalFormatting>
  <conditionalFormatting sqref="G30:I34">
    <cfRule type="cellIs" dxfId="95" priority="246" operator="lessThan">
      <formula>0</formula>
    </cfRule>
    <cfRule type="cellIs" dxfId="94" priority="247" operator="lessThan">
      <formula>0</formula>
    </cfRule>
  </conditionalFormatting>
  <conditionalFormatting sqref="G34:I35">
    <cfRule type="cellIs" dxfId="93" priority="86" operator="lessThan">
      <formula>0</formula>
    </cfRule>
    <cfRule type="cellIs" dxfId="92" priority="87" operator="lessThan">
      <formula>0</formula>
    </cfRule>
  </conditionalFormatting>
  <conditionalFormatting sqref="G35:I35">
    <cfRule type="cellIs" dxfId="91" priority="83" operator="lessThan">
      <formula>0</formula>
    </cfRule>
    <cfRule type="cellIs" dxfId="90" priority="84" operator="lessThan">
      <formula>0</formula>
    </cfRule>
  </conditionalFormatting>
  <conditionalFormatting sqref="G36:I36">
    <cfRule type="cellIs" dxfId="89" priority="56" operator="lessThan">
      <formula>0</formula>
    </cfRule>
    <cfRule type="cellIs" dxfId="88" priority="58" operator="lessThan">
      <formula>0</formula>
    </cfRule>
  </conditionalFormatting>
  <conditionalFormatting sqref="G37:I38">
    <cfRule type="cellIs" dxfId="87" priority="7" operator="lessThan">
      <formula>0</formula>
    </cfRule>
    <cfRule type="cellIs" dxfId="86" priority="8" operator="lessThan">
      <formula>0</formula>
    </cfRule>
  </conditionalFormatting>
  <conditionalFormatting sqref="G40:I40">
    <cfRule type="cellIs" dxfId="85" priority="514" operator="lessThan">
      <formula>0</formula>
    </cfRule>
    <cfRule type="cellIs" dxfId="84" priority="516" operator="lessThan">
      <formula>0</formula>
    </cfRule>
  </conditionalFormatting>
  <conditionalFormatting sqref="G42:I42">
    <cfRule type="cellIs" dxfId="83" priority="454" operator="lessThan">
      <formula>0</formula>
    </cfRule>
    <cfRule type="cellIs" dxfId="82" priority="455" operator="lessThan">
      <formula>0</formula>
    </cfRule>
  </conditionalFormatting>
  <conditionalFormatting sqref="G48:I48">
    <cfRule type="cellIs" dxfId="81" priority="449" operator="lessThan">
      <formula>0</formula>
    </cfRule>
    <cfRule type="cellIs" dxfId="80" priority="450" operator="lessThan">
      <formula>0</formula>
    </cfRule>
    <cfRule type="cellIs" dxfId="79" priority="451" operator="lessThan">
      <formula>0</formula>
    </cfRule>
  </conditionalFormatting>
  <conditionalFormatting sqref="H14">
    <cfRule type="cellIs" dxfId="78" priority="4" operator="lessThan">
      <formula>0</formula>
    </cfRule>
    <cfRule type="cellIs" dxfId="77" priority="5" operator="lessThan">
      <formula>0</formula>
    </cfRule>
    <cfRule type="cellIs" dxfId="76" priority="6" operator="lessThan">
      <formula>0</formula>
    </cfRule>
  </conditionalFormatting>
  <conditionalFormatting sqref="H27:H28">
    <cfRule type="cellIs" dxfId="75" priority="548" operator="lessThan">
      <formula>0</formula>
    </cfRule>
  </conditionalFormatting>
  <conditionalFormatting sqref="G14">
    <cfRule type="cellIs" dxfId="74" priority="1" operator="lessThan">
      <formula>0</formula>
    </cfRule>
    <cfRule type="cellIs" dxfId="73" priority="2" operator="lessThan">
      <formula>0</formula>
    </cfRule>
  </conditionalFormatting>
  <conditionalFormatting sqref="I34">
    <cfRule type="cellIs" dxfId="72" priority="240" operator="lessThan">
      <formula>0</formula>
    </cfRule>
    <cfRule type="cellIs" dxfId="71" priority="241" operator="lessThan">
      <formula>0</formula>
    </cfRule>
    <cfRule type="cellIs" dxfId="70" priority="242" operator="lessThan">
      <formula>0</formula>
    </cfRule>
    <cfRule type="cellIs" dxfId="69" priority="243" operator="lessThan">
      <formula>0</formula>
    </cfRule>
    <cfRule type="cellIs" dxfId="68" priority="244" operator="lessThan">
      <formula>0</formula>
    </cfRule>
    <cfRule type="cellIs" dxfId="67" priority="245" operator="lessThan">
      <formula>0</formula>
    </cfRule>
  </conditionalFormatting>
  <conditionalFormatting sqref="I35:I36">
    <cfRule type="cellIs" dxfId="66" priority="64" operator="lessThan">
      <formula>0</formula>
    </cfRule>
    <cfRule type="cellIs" dxfId="65" priority="65" operator="lessThan">
      <formula>0</formula>
    </cfRule>
  </conditionalFormatting>
  <conditionalFormatting sqref="I36">
    <cfRule type="cellIs" dxfId="64" priority="62" operator="lessThan">
      <formula>0</formula>
    </cfRule>
    <cfRule type="cellIs" dxfId="63" priority="63" operator="lessThan">
      <formula>0</formula>
    </cfRule>
  </conditionalFormatting>
  <conditionalFormatting sqref="I37:I38">
    <cfRule type="cellIs" dxfId="62" priority="15" operator="lessThan">
      <formula>0</formula>
    </cfRule>
    <cfRule type="cellIs" dxfId="61" priority="16" operator="lessThan">
      <formula>0</formula>
    </cfRule>
    <cfRule type="cellIs" dxfId="60" priority="17" operator="lessThan">
      <formula>0</formula>
    </cfRule>
    <cfRule type="cellIs" dxfId="59" priority="18" operator="lessThan">
      <formula>0</formula>
    </cfRule>
  </conditionalFormatting>
  <conditionalFormatting sqref="J4">
    <cfRule type="cellIs" dxfId="58" priority="447" operator="lessThan">
      <formula>0</formula>
    </cfRule>
    <cfRule type="cellIs" dxfId="57" priority="448" operator="lessThan">
      <formula>0</formula>
    </cfRule>
  </conditionalFormatting>
  <conditionalFormatting sqref="M2:O2">
    <cfRule type="cellIs" dxfId="56" priority="544" operator="lessThan">
      <formula>0</formula>
    </cfRule>
    <cfRule type="cellIs" dxfId="55" priority="545" operator="lessThan">
      <formula>0</formula>
    </cfRule>
  </conditionalFormatting>
  <conditionalFormatting sqref="M32:O32">
    <cfRule type="cellIs" dxfId="54" priority="524" operator="lessThan">
      <formula>0</formula>
    </cfRule>
    <cfRule type="cellIs" dxfId="53" priority="525" operator="lessThan">
      <formula>0</formula>
    </cfRule>
  </conditionalFormatting>
  <conditionalFormatting sqref="N42:O42">
    <cfRule type="cellIs" dxfId="52" priority="442" operator="lessThan">
      <formula>0</formula>
    </cfRule>
    <cfRule type="cellIs" dxfId="51" priority="44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DB956-70BD-4FA6-8865-722904306DEC}">
  <dimension ref="A1:V41"/>
  <sheetViews>
    <sheetView showGridLines="0" zoomScale="85" zoomScaleNormal="85" workbookViewId="0">
      <pane ySplit="2" topLeftCell="A3" activePane="bottomLeft" state="frozen"/>
      <selection pane="bottomLeft" activeCell="D33" sqref="D33"/>
    </sheetView>
  </sheetViews>
  <sheetFormatPr baseColWidth="10" defaultColWidth="11.42578125" defaultRowHeight="12.6" customHeight="1" outlineLevelCol="1" x14ac:dyDescent="0.2"/>
  <cols>
    <col min="1" max="1" width="2" style="53" bestFit="1" customWidth="1"/>
    <col min="2" max="2" width="23.42578125" style="53" customWidth="1" outlineLevel="1"/>
    <col min="3" max="3" width="27.85546875" style="53" customWidth="1" outlineLevel="1"/>
    <col min="4" max="4" width="28.140625" style="53" bestFit="1" customWidth="1"/>
    <col min="5" max="5" width="26.42578125" style="53" customWidth="1"/>
    <col min="6" max="6" width="14.28515625" style="53" customWidth="1"/>
    <col min="7" max="7" width="16.85546875" style="53" customWidth="1"/>
    <col min="8" max="8" width="14.85546875" style="53" customWidth="1"/>
    <col min="9" max="9" width="18.28515625" style="53" customWidth="1"/>
    <col min="10" max="10" width="14.85546875" style="53" customWidth="1"/>
    <col min="11" max="11" width="8.7109375" style="53" customWidth="1" outlineLevel="1"/>
    <col min="12" max="12" width="15.42578125" style="53" customWidth="1" outlineLevel="1"/>
    <col min="13" max="13" width="8" style="53" customWidth="1" outlineLevel="1"/>
    <col min="14" max="15" width="19" style="53" customWidth="1"/>
    <col min="16" max="16" width="9.5703125" style="53" customWidth="1"/>
    <col min="17" max="17" width="10.7109375" style="53" bestFit="1" customWidth="1"/>
    <col min="18" max="18" width="10.42578125" style="53" bestFit="1" customWidth="1"/>
    <col min="19" max="21" width="11.42578125" style="53"/>
    <col min="22" max="22" width="12.28515625" style="53" bestFit="1" customWidth="1"/>
    <col min="23" max="16384" width="11.42578125" style="53"/>
  </cols>
  <sheetData>
    <row r="1" spans="1:22" ht="12.6" customHeight="1" x14ac:dyDescent="0.25">
      <c r="F1" s="154" t="s">
        <v>340</v>
      </c>
      <c r="G1" s="153">
        <f>G41</f>
        <v>0</v>
      </c>
      <c r="H1" s="153">
        <f>H41</f>
        <v>0</v>
      </c>
      <c r="J1" s="158" t="s">
        <v>343</v>
      </c>
      <c r="K1" s="134">
        <f ca="1">WEEKNUM(TODAY())</f>
        <v>2</v>
      </c>
    </row>
    <row r="2" spans="1:22" ht="12.6" customHeight="1" x14ac:dyDescent="0.2">
      <c r="A2" s="44" t="s">
        <v>212</v>
      </c>
      <c r="B2" s="45" t="s">
        <v>1</v>
      </c>
      <c r="C2" s="46" t="s">
        <v>213</v>
      </c>
      <c r="D2" s="47" t="s">
        <v>214</v>
      </c>
      <c r="E2" s="47" t="s">
        <v>215</v>
      </c>
      <c r="F2" s="47" t="s">
        <v>216</v>
      </c>
      <c r="G2" s="48" t="s">
        <v>217</v>
      </c>
      <c r="H2" s="48" t="s">
        <v>218</v>
      </c>
      <c r="I2" s="48" t="s">
        <v>219</v>
      </c>
      <c r="J2" s="49" t="s">
        <v>220</v>
      </c>
      <c r="K2" s="44">
        <v>20</v>
      </c>
      <c r="L2" s="50" t="s">
        <v>221</v>
      </c>
      <c r="M2" s="48" t="str">
        <f>IF(H2=0,"CXC","CXC USD")</f>
        <v>CXC USD</v>
      </c>
      <c r="N2" s="48" t="s">
        <v>222</v>
      </c>
      <c r="O2" s="48" t="s">
        <v>223</v>
      </c>
      <c r="P2" s="51"/>
      <c r="Q2" s="52" t="s">
        <v>209</v>
      </c>
      <c r="R2" s="53" t="s">
        <v>210</v>
      </c>
      <c r="S2" s="52" t="s">
        <v>211</v>
      </c>
      <c r="T2" s="54" t="s">
        <v>277</v>
      </c>
    </row>
    <row r="3" spans="1:22" ht="12.6" customHeight="1" x14ac:dyDescent="0.2">
      <c r="A3" s="53" t="s">
        <v>212</v>
      </c>
      <c r="B3" s="53" t="s">
        <v>212</v>
      </c>
      <c r="C3" s="55" t="s">
        <v>224</v>
      </c>
      <c r="D3" s="56"/>
      <c r="E3" s="56"/>
      <c r="F3" s="56"/>
      <c r="G3" s="57"/>
      <c r="H3" s="57"/>
      <c r="I3" s="57"/>
      <c r="J3" s="58"/>
      <c r="K3" s="59"/>
      <c r="L3" s="60"/>
      <c r="N3" s="61"/>
      <c r="O3" s="61"/>
      <c r="P3" s="62"/>
      <c r="Q3" s="52"/>
    </row>
    <row r="4" spans="1:22" ht="12.6" customHeight="1" x14ac:dyDescent="0.2">
      <c r="C4" s="63" t="s">
        <v>273</v>
      </c>
      <c r="D4" s="64"/>
      <c r="E4" s="64"/>
      <c r="F4" s="64"/>
      <c r="G4" s="65"/>
      <c r="H4" s="65"/>
      <c r="I4" s="65" t="s">
        <v>330</v>
      </c>
      <c r="J4" s="65" t="s">
        <v>330</v>
      </c>
      <c r="K4" s="149">
        <f>WEEKNUM(O4)</f>
        <v>37</v>
      </c>
      <c r="L4" s="67"/>
      <c r="N4" s="68"/>
      <c r="O4" s="148">
        <v>45911</v>
      </c>
      <c r="P4" s="62"/>
      <c r="Q4" s="52"/>
    </row>
    <row r="5" spans="1:22" ht="12.6" customHeight="1" x14ac:dyDescent="0.2">
      <c r="C5" s="69">
        <f ca="1">TODAY()</f>
        <v>46030</v>
      </c>
      <c r="D5" s="64"/>
      <c r="E5" s="64"/>
      <c r="F5" s="64"/>
      <c r="G5" s="65"/>
      <c r="H5" s="65"/>
      <c r="I5" s="65"/>
      <c r="J5" s="70"/>
      <c r="K5" s="59">
        <v>0</v>
      </c>
      <c r="L5" s="60"/>
      <c r="N5" s="68"/>
      <c r="P5" s="62"/>
      <c r="Q5" s="52"/>
    </row>
    <row r="6" spans="1:22" ht="12.6" customHeight="1" x14ac:dyDescent="0.2">
      <c r="C6" s="71" t="s">
        <v>190</v>
      </c>
      <c r="D6" s="64"/>
      <c r="E6" s="64"/>
      <c r="F6" s="64"/>
      <c r="G6" s="65"/>
      <c r="H6" s="65"/>
      <c r="I6" s="65"/>
      <c r="J6" s="72"/>
      <c r="K6" s="73"/>
      <c r="L6" s="60" t="s">
        <v>227</v>
      </c>
      <c r="N6" s="61"/>
      <c r="O6" s="61"/>
      <c r="P6" s="52"/>
      <c r="Q6" s="52"/>
    </row>
    <row r="7" spans="1:22" ht="12.6" customHeight="1" x14ac:dyDescent="0.2">
      <c r="B7" s="45" t="s">
        <v>228</v>
      </c>
      <c r="C7" s="46" t="s">
        <v>213</v>
      </c>
      <c r="D7" s="47" t="s">
        <v>214</v>
      </c>
      <c r="E7" s="47" t="s">
        <v>215</v>
      </c>
      <c r="F7" s="47" t="s">
        <v>216</v>
      </c>
      <c r="G7" s="48" t="s">
        <v>217</v>
      </c>
      <c r="H7" s="48" t="s">
        <v>218</v>
      </c>
      <c r="I7" s="48" t="s">
        <v>219</v>
      </c>
      <c r="J7" s="74" t="s">
        <v>229</v>
      </c>
      <c r="K7" s="75" t="s">
        <v>232</v>
      </c>
      <c r="L7" s="76" t="str">
        <f>J7</f>
        <v>* Fecha Factura</v>
      </c>
      <c r="M7" s="76" t="str">
        <f>IF(H7=0,"CXC","CXC USD")</f>
        <v>CXC USD</v>
      </c>
      <c r="N7" s="77" t="s">
        <v>222</v>
      </c>
      <c r="O7" s="77" t="s">
        <v>223</v>
      </c>
      <c r="P7" s="52"/>
      <c r="Q7" s="52"/>
    </row>
    <row r="8" spans="1:22" ht="12.6" customHeight="1" x14ac:dyDescent="0.2">
      <c r="B8" s="78" t="str">
        <f>IFERROR(VLOOKUP($E8,'Total TMA'!$B$1:$I$240,8,FALSE),"")</f>
        <v>MIGALOO CASA 4</v>
      </c>
      <c r="C8" s="98" t="s">
        <v>317</v>
      </c>
      <c r="D8" s="98"/>
      <c r="E8" s="98" t="s">
        <v>197</v>
      </c>
      <c r="F8" s="99"/>
      <c r="G8" s="100"/>
      <c r="H8" s="100">
        <v>0</v>
      </c>
      <c r="I8" s="82">
        <f t="shared" ref="I8" si="0">G8+(H8*$K$2)</f>
        <v>0</v>
      </c>
      <c r="J8" s="83"/>
      <c r="K8" s="84">
        <v>48</v>
      </c>
      <c r="L8" s="85" t="s">
        <v>329</v>
      </c>
      <c r="M8" s="85" t="str">
        <f t="shared" ref="M8" si="1">IF(H8=0,"CXC","CXC USD")</f>
        <v>CXC</v>
      </c>
      <c r="N8" s="86">
        <f t="shared" ref="N8" si="2">IFERROR($I8/P8,0)</f>
        <v>0</v>
      </c>
      <c r="O8" s="87">
        <f t="shared" ref="O8" si="3">N8/1.16</f>
        <v>0</v>
      </c>
      <c r="P8" s="88">
        <f>_xlfn.XLOOKUP(E8,'Total TMA'!B:B,'Total TMA'!J:J,0,FALSE)</f>
        <v>1.165</v>
      </c>
      <c r="Q8" s="89"/>
      <c r="R8" s="90"/>
      <c r="S8" s="90"/>
      <c r="T8" s="90"/>
      <c r="V8" s="61"/>
    </row>
    <row r="9" spans="1:22" ht="12.6" customHeight="1" x14ac:dyDescent="0.2">
      <c r="C9" s="91"/>
      <c r="D9" s="92"/>
      <c r="E9" s="93"/>
      <c r="F9" s="93" t="s">
        <v>231</v>
      </c>
      <c r="G9" s="94">
        <f>SUBTOTAL(9,G8:G8)</f>
        <v>0</v>
      </c>
      <c r="H9" s="94">
        <f>SUBTOTAL(9,H8:H8)</f>
        <v>0</v>
      </c>
      <c r="I9" s="94">
        <f>SUBTOTAL(9,I8:I8)</f>
        <v>0</v>
      </c>
      <c r="J9" s="95"/>
      <c r="K9" s="73" t="s">
        <v>232</v>
      </c>
      <c r="L9" s="67" t="s">
        <v>233</v>
      </c>
      <c r="N9" s="94">
        <f>SUBTOTAL(9,N8:N8)</f>
        <v>0</v>
      </c>
      <c r="O9" s="94">
        <f>SUBTOTAL(9,O8:O8)</f>
        <v>0</v>
      </c>
      <c r="P9" s="52"/>
      <c r="Q9" s="52"/>
    </row>
    <row r="10" spans="1:22" ht="12.6" customHeight="1" x14ac:dyDescent="0.2">
      <c r="C10" s="71" t="s">
        <v>186</v>
      </c>
      <c r="D10" s="64"/>
      <c r="E10" s="64"/>
      <c r="F10" s="64"/>
      <c r="G10" s="65"/>
      <c r="H10" s="65"/>
      <c r="I10" s="65"/>
      <c r="J10" s="72"/>
      <c r="K10" s="73" t="s">
        <v>232</v>
      </c>
      <c r="L10" s="60" t="s">
        <v>227</v>
      </c>
      <c r="N10" s="61"/>
      <c r="O10" s="61"/>
      <c r="P10" s="52"/>
    </row>
    <row r="11" spans="1:22" ht="12.6" customHeight="1" x14ac:dyDescent="0.2">
      <c r="B11" s="45" t="s">
        <v>228</v>
      </c>
      <c r="C11" s="46" t="s">
        <v>213</v>
      </c>
      <c r="D11" s="47" t="s">
        <v>214</v>
      </c>
      <c r="E11" s="47" t="s">
        <v>215</v>
      </c>
      <c r="F11" s="47" t="s">
        <v>216</v>
      </c>
      <c r="G11" s="48" t="s">
        <v>217</v>
      </c>
      <c r="H11" s="48" t="s">
        <v>218</v>
      </c>
      <c r="I11" s="48" t="s">
        <v>219</v>
      </c>
      <c r="J11" s="49" t="s">
        <v>229</v>
      </c>
      <c r="K11" s="96" t="s">
        <v>232</v>
      </c>
      <c r="L11" s="45" t="str">
        <f>J11</f>
        <v>* Fecha Factura</v>
      </c>
      <c r="M11" s="45" t="str">
        <f>IF(H11=0,"CXC","CXC USD")</f>
        <v>CXC USD</v>
      </c>
      <c r="N11" s="48" t="s">
        <v>222</v>
      </c>
      <c r="O11" s="48" t="s">
        <v>223</v>
      </c>
      <c r="P11" s="52"/>
    </row>
    <row r="12" spans="1:22" ht="12.6" customHeight="1" x14ac:dyDescent="0.2">
      <c r="B12" s="78" t="str">
        <f>IFERROR(VLOOKUP($E12,'Total TMA'!$B$1:$I$240,8,FALSE),"")</f>
        <v>ATLAS</v>
      </c>
      <c r="C12" s="79" t="s">
        <v>278</v>
      </c>
      <c r="D12" s="79" t="s">
        <v>279</v>
      </c>
      <c r="E12" s="79" t="s">
        <v>185</v>
      </c>
      <c r="F12" s="80" t="s">
        <v>280</v>
      </c>
      <c r="G12" s="81">
        <v>6997.09</v>
      </c>
      <c r="H12" s="81">
        <v>0</v>
      </c>
      <c r="I12" s="82">
        <f t="shared" ref="I12" si="4">G12+(H12*$K$2)</f>
        <v>6997.09</v>
      </c>
      <c r="J12" s="83">
        <v>45441</v>
      </c>
      <c r="K12" s="84">
        <v>22</v>
      </c>
      <c r="L12" s="85" t="s">
        <v>281</v>
      </c>
      <c r="M12" s="85" t="str">
        <f t="shared" ref="M12" si="5">IF(H12=0,"CXC","CXC USD")</f>
        <v>CXC</v>
      </c>
      <c r="N12" s="86">
        <f t="shared" ref="N12" si="6">IFERROR($I12/P12,0)</f>
        <v>6042.3920552677037</v>
      </c>
      <c r="O12" s="87">
        <f t="shared" ref="O12" si="7">N12/1.16</f>
        <v>5208.9586683342277</v>
      </c>
      <c r="P12" s="88">
        <f>_xlfn.XLOOKUP(E12,'Total TMA'!B:B,'Total TMA'!J:J,0,FALSE)</f>
        <v>1.1579999999999999</v>
      </c>
      <c r="Q12" s="89">
        <f>_xlfn.XLOOKUP($E12,'Total TMA'!$B:$B,'Total TMA'!K:K,0,FALSE)*O12</f>
        <v>119.80604937168724</v>
      </c>
      <c r="R12" s="90">
        <f>_xlfn.XLOOKUP($E12,'Total TMA'!$B:$B,'Total TMA'!L:L,0,FALSE)*O12</f>
        <v>166.68667738669529</v>
      </c>
      <c r="S12" s="90">
        <f>_xlfn.XLOOKUP($E12,'Total TMA'!$B:$B,'Total TMA'!M:M,0,FALSE)*O12</f>
        <v>536.52274283842507</v>
      </c>
      <c r="T12" s="90"/>
    </row>
    <row r="13" spans="1:22" ht="12.6" customHeight="1" x14ac:dyDescent="0.2">
      <c r="C13" s="91"/>
      <c r="D13" s="92"/>
      <c r="E13" s="93"/>
      <c r="F13" s="93" t="s">
        <v>231</v>
      </c>
      <c r="G13" s="94">
        <f>SUBTOTAL(9,G12:G12)</f>
        <v>6997.09</v>
      </c>
      <c r="H13" s="94">
        <f>SUBTOTAL(9,H12:H12)</f>
        <v>0</v>
      </c>
      <c r="I13" s="94">
        <f>SUBTOTAL(9,I12:I12)</f>
        <v>6997.09</v>
      </c>
      <c r="J13" s="95"/>
      <c r="K13" s="73" t="s">
        <v>232</v>
      </c>
      <c r="L13" s="67" t="s">
        <v>233</v>
      </c>
      <c r="N13" s="97">
        <f>SUBTOTAL(9,N12:N12)</f>
        <v>6042.3920552677037</v>
      </c>
      <c r="O13" s="97">
        <f>SUBTOTAL(9,O12:O12)</f>
        <v>5208.9586683342277</v>
      </c>
      <c r="P13" s="52"/>
    </row>
    <row r="14" spans="1:22" ht="12.6" customHeight="1" x14ac:dyDescent="0.2">
      <c r="C14" s="71" t="s">
        <v>173</v>
      </c>
      <c r="D14" s="64"/>
      <c r="E14" s="64"/>
      <c r="F14" s="64"/>
      <c r="G14" s="65"/>
      <c r="H14" s="65"/>
      <c r="I14" s="65"/>
      <c r="J14" s="72"/>
      <c r="K14" s="73" t="s">
        <v>232</v>
      </c>
      <c r="L14" s="60" t="s">
        <v>227</v>
      </c>
      <c r="N14" s="61"/>
      <c r="O14" s="61"/>
      <c r="P14" s="52"/>
    </row>
    <row r="15" spans="1:22" ht="12.6" customHeight="1" x14ac:dyDescent="0.2">
      <c r="B15" s="45" t="s">
        <v>228</v>
      </c>
      <c r="C15" s="46" t="s">
        <v>213</v>
      </c>
      <c r="D15" s="47" t="s">
        <v>214</v>
      </c>
      <c r="E15" s="47" t="s">
        <v>215</v>
      </c>
      <c r="F15" s="47" t="s">
        <v>216</v>
      </c>
      <c r="G15" s="48" t="s">
        <v>217</v>
      </c>
      <c r="H15" s="48" t="s">
        <v>218</v>
      </c>
      <c r="I15" s="48" t="s">
        <v>219</v>
      </c>
      <c r="J15" s="49" t="s">
        <v>229</v>
      </c>
      <c r="K15" s="96" t="s">
        <v>232</v>
      </c>
      <c r="L15" s="45" t="str">
        <f>J15</f>
        <v>* Fecha Factura</v>
      </c>
      <c r="M15" s="45" t="str">
        <f>IF(H15=0,"CXC","CXC USD")</f>
        <v>CXC USD</v>
      </c>
      <c r="N15" s="48" t="s">
        <v>222</v>
      </c>
      <c r="O15" s="48" t="s">
        <v>223</v>
      </c>
      <c r="P15" s="52"/>
    </row>
    <row r="16" spans="1:22" ht="12.6" customHeight="1" x14ac:dyDescent="0.2">
      <c r="B16" s="78" t="str">
        <f>IFERROR(VLOOKUP($E16,'Total TMA'!$B$1:$I$240,8,FALSE),"")</f>
        <v>SIRENA DEL MAR HOTEL</v>
      </c>
      <c r="C16" s="79" t="s">
        <v>389</v>
      </c>
      <c r="D16" s="79" t="s">
        <v>390</v>
      </c>
      <c r="E16" s="79" t="s">
        <v>391</v>
      </c>
      <c r="F16" s="80" t="s">
        <v>392</v>
      </c>
      <c r="G16" s="81">
        <v>3500772.67</v>
      </c>
      <c r="H16" s="81">
        <v>0</v>
      </c>
      <c r="I16" s="82">
        <v>3500772.67</v>
      </c>
      <c r="J16" s="83">
        <v>45982</v>
      </c>
      <c r="K16" s="84">
        <v>47</v>
      </c>
      <c r="L16" s="85" t="s">
        <v>384</v>
      </c>
      <c r="M16" s="85" t="str">
        <f t="shared" ref="M16" si="8">IF(H16=0,"CXC","CXC USD")</f>
        <v>CXC</v>
      </c>
      <c r="N16" s="86">
        <f t="shared" ref="N16" si="9">IFERROR($I16/P16,0)</f>
        <v>3168120.0633484162</v>
      </c>
      <c r="O16" s="87">
        <f t="shared" ref="O16" si="10">N16/1.16</f>
        <v>2731137.9856451866</v>
      </c>
      <c r="P16" s="88">
        <f>_xlfn.XLOOKUP(E16,'Total TMA'!B:B,'Total TMA'!J:J,0,FALSE)</f>
        <v>1.105</v>
      </c>
      <c r="Q16" s="89">
        <f>_xlfn.XLOOKUP($E16,'Total TMA'!$B:$B,'Total TMA'!K:K,0,FALSE)*O16</f>
        <v>62816.173669839292</v>
      </c>
      <c r="R16" s="90">
        <f>_xlfn.XLOOKUP($E16,'Total TMA'!$B:$B,'Total TMA'!L:L,0,FALSE)*O16</f>
        <v>87396.415540645976</v>
      </c>
      <c r="S16" s="90">
        <f>_xlfn.XLOOKUP($E16,'Total TMA'!$B:$B,'Total TMA'!M:M,0,FALSE)*O16</f>
        <v>136556.89928225931</v>
      </c>
      <c r="T16" s="90"/>
    </row>
    <row r="17" spans="2:20" ht="12.6" customHeight="1" x14ac:dyDescent="0.2">
      <c r="C17" s="91"/>
      <c r="D17" s="92"/>
      <c r="E17" s="93"/>
      <c r="F17" s="93" t="s">
        <v>231</v>
      </c>
      <c r="G17" s="94">
        <f>SUBTOTAL(9,G16:G16)</f>
        <v>3500772.67</v>
      </c>
      <c r="H17" s="94">
        <f>SUBTOTAL(9,H16:H16)</f>
        <v>0</v>
      </c>
      <c r="I17" s="94">
        <f>SUBTOTAL(9,I16:I16)</f>
        <v>3500772.67</v>
      </c>
      <c r="J17" s="95"/>
      <c r="K17" s="73" t="s">
        <v>232</v>
      </c>
      <c r="L17" s="67" t="s">
        <v>233</v>
      </c>
      <c r="N17" s="97">
        <f>SUBTOTAL(9,N16:N16)</f>
        <v>3168120.0633484162</v>
      </c>
      <c r="O17" s="97">
        <f>SUBTOTAL(9,O16:O16)</f>
        <v>2731137.9856451866</v>
      </c>
      <c r="P17" s="52"/>
    </row>
    <row r="18" spans="2:20" ht="12.6" customHeight="1" x14ac:dyDescent="0.2">
      <c r="C18" s="71" t="s">
        <v>202</v>
      </c>
      <c r="D18" s="64"/>
      <c r="E18" s="64"/>
      <c r="F18" s="64"/>
      <c r="G18" s="65"/>
      <c r="H18" s="65"/>
      <c r="I18" s="65"/>
      <c r="J18" s="72"/>
      <c r="K18" s="73" t="s">
        <v>232</v>
      </c>
      <c r="L18" s="60" t="s">
        <v>227</v>
      </c>
      <c r="N18" s="61"/>
      <c r="O18" s="61"/>
      <c r="P18" s="52"/>
    </row>
    <row r="19" spans="2:20" ht="12.6" customHeight="1" x14ac:dyDescent="0.2">
      <c r="B19" s="45" t="s">
        <v>228</v>
      </c>
      <c r="C19" s="46" t="s">
        <v>213</v>
      </c>
      <c r="D19" s="47" t="s">
        <v>214</v>
      </c>
      <c r="E19" s="47" t="s">
        <v>215</v>
      </c>
      <c r="F19" s="47" t="s">
        <v>216</v>
      </c>
      <c r="G19" s="48" t="s">
        <v>217</v>
      </c>
      <c r="H19" s="48" t="s">
        <v>218</v>
      </c>
      <c r="I19" s="48" t="s">
        <v>219</v>
      </c>
      <c r="J19" s="49" t="s">
        <v>229</v>
      </c>
      <c r="K19" s="96" t="s">
        <v>232</v>
      </c>
      <c r="L19" s="45" t="str">
        <f>J19</f>
        <v>* Fecha Factura</v>
      </c>
      <c r="M19" s="45" t="str">
        <f t="shared" ref="M19" si="11">IF(H19=0,"CXC","CXC USD")</f>
        <v>CXC USD</v>
      </c>
      <c r="N19" s="48" t="s">
        <v>222</v>
      </c>
      <c r="O19" s="48" t="s">
        <v>223</v>
      </c>
      <c r="P19" s="52"/>
    </row>
    <row r="20" spans="2:20" ht="12.6" customHeight="1" x14ac:dyDescent="0.2">
      <c r="B20" s="78" t="str">
        <f>IFERROR(VLOOKUP($E20,'Total TMA'!$B$1:$I$240,8,FALSE),"")</f>
        <v>HYATT</v>
      </c>
      <c r="C20" s="98" t="s">
        <v>282</v>
      </c>
      <c r="D20" s="98" t="s">
        <v>453</v>
      </c>
      <c r="E20" s="98" t="s">
        <v>201</v>
      </c>
      <c r="F20" s="99" t="s">
        <v>454</v>
      </c>
      <c r="G20" s="100">
        <v>114400.37</v>
      </c>
      <c r="H20" s="100">
        <v>0</v>
      </c>
      <c r="I20" s="82">
        <v>114400.37</v>
      </c>
      <c r="J20" s="83">
        <v>45987</v>
      </c>
      <c r="K20" s="84">
        <v>48</v>
      </c>
      <c r="L20" s="85" t="s">
        <v>423</v>
      </c>
      <c r="M20" s="85" t="str">
        <f>IF(H20=0,"CXC","CXC USD")</f>
        <v>CXC</v>
      </c>
      <c r="N20" s="86">
        <f>IFERROR($I20/P20,0)</f>
        <v>98621.008620689652</v>
      </c>
      <c r="O20" s="87">
        <f>N20/1.16</f>
        <v>85018.110879904882</v>
      </c>
      <c r="P20" s="88">
        <f>_xlfn.XLOOKUP(E20,'Total TMA'!B:B,'Total TMA'!J:J,0,FALSE)</f>
        <v>1.1599999999999999</v>
      </c>
      <c r="Q20" s="89"/>
      <c r="R20" s="90"/>
      <c r="S20" s="90"/>
      <c r="T20" s="90"/>
    </row>
    <row r="21" spans="2:20" ht="12.6" customHeight="1" x14ac:dyDescent="0.2">
      <c r="C21" s="91"/>
      <c r="D21" s="92"/>
      <c r="E21" s="93"/>
      <c r="F21" s="93" t="s">
        <v>231</v>
      </c>
      <c r="G21" s="94">
        <f>SUBTOTAL(9,G20:G20)</f>
        <v>114400.37</v>
      </c>
      <c r="H21" s="94">
        <f>SUBTOTAL(9,H20:H20)</f>
        <v>0</v>
      </c>
      <c r="I21" s="94">
        <f>SUBTOTAL(9,I20:I20)</f>
        <v>114400.37</v>
      </c>
      <c r="J21" s="95"/>
      <c r="K21" s="73" t="s">
        <v>232</v>
      </c>
      <c r="L21" s="67" t="s">
        <v>233</v>
      </c>
      <c r="N21" s="97">
        <f>SUBTOTAL(9,N20:N20)</f>
        <v>98621.008620689652</v>
      </c>
      <c r="O21" s="97">
        <f>SUBTOTAL(9,O20:O20)</f>
        <v>85018.110879904882</v>
      </c>
      <c r="P21" s="52"/>
    </row>
    <row r="22" spans="2:20" ht="12.6" customHeight="1" x14ac:dyDescent="0.2">
      <c r="C22" s="71" t="s">
        <v>297</v>
      </c>
      <c r="D22" s="64"/>
      <c r="E22" s="64"/>
      <c r="F22" s="64"/>
      <c r="G22" s="65"/>
      <c r="H22" s="65"/>
      <c r="I22" s="65"/>
      <c r="J22" s="72"/>
      <c r="K22" s="73" t="s">
        <v>232</v>
      </c>
      <c r="L22" s="60" t="s">
        <v>227</v>
      </c>
      <c r="N22" s="61"/>
      <c r="O22" s="61"/>
      <c r="P22" s="52"/>
    </row>
    <row r="23" spans="2:20" ht="12.6" customHeight="1" x14ac:dyDescent="0.2">
      <c r="B23" s="45" t="s">
        <v>228</v>
      </c>
      <c r="C23" s="46" t="s">
        <v>213</v>
      </c>
      <c r="D23" s="47" t="s">
        <v>214</v>
      </c>
      <c r="E23" s="47" t="s">
        <v>215</v>
      </c>
      <c r="F23" s="47" t="s">
        <v>216</v>
      </c>
      <c r="G23" s="48" t="s">
        <v>217</v>
      </c>
      <c r="H23" s="48" t="s">
        <v>218</v>
      </c>
      <c r="I23" s="48" t="s">
        <v>219</v>
      </c>
      <c r="J23" s="49" t="s">
        <v>229</v>
      </c>
      <c r="K23" s="96" t="s">
        <v>232</v>
      </c>
      <c r="L23" s="45" t="str">
        <f>J23</f>
        <v>* Fecha Factura</v>
      </c>
      <c r="M23" s="45" t="str">
        <f>IF(H23=0,"CXC","CXC USD")</f>
        <v>CXC USD</v>
      </c>
      <c r="N23" s="48" t="s">
        <v>222</v>
      </c>
      <c r="O23" s="48" t="s">
        <v>223</v>
      </c>
      <c r="P23" s="52"/>
    </row>
    <row r="24" spans="2:20" ht="12.6" customHeight="1" x14ac:dyDescent="0.2">
      <c r="B24" s="78" t="str">
        <f>IFERROR(VLOOKUP($E24,'Total TMA'!$B$1:$I$240,8,FALSE),"")</f>
        <v>ALMACEN GENERAL TM</v>
      </c>
      <c r="C24" s="79" t="s">
        <v>245</v>
      </c>
      <c r="D24" s="79" t="s">
        <v>274</v>
      </c>
      <c r="E24" s="79" t="s">
        <v>75</v>
      </c>
      <c r="F24" s="80" t="s">
        <v>275</v>
      </c>
      <c r="G24" s="81">
        <v>303050</v>
      </c>
      <c r="H24" s="81">
        <v>0</v>
      </c>
      <c r="I24" s="82">
        <f>G24+(H24*$K$2)</f>
        <v>303050</v>
      </c>
      <c r="J24" s="83">
        <v>45546</v>
      </c>
      <c r="K24" s="84">
        <v>37</v>
      </c>
      <c r="L24" s="85" t="s">
        <v>276</v>
      </c>
      <c r="M24" s="85" t="str">
        <f>IF(H24=0,"CXC","CXC USD")</f>
        <v>CXC</v>
      </c>
      <c r="N24" s="86">
        <f>IFERROR($I24/P24,0)</f>
        <v>0</v>
      </c>
      <c r="O24" s="87">
        <f>N24/1.16</f>
        <v>0</v>
      </c>
      <c r="P24" s="88">
        <f>_xlfn.XLOOKUP(E24,'Total TMA'!B:B,'Total TMA'!J:J,0,FALSE)</f>
        <v>0</v>
      </c>
      <c r="Q24" s="89">
        <f>_xlfn.XLOOKUP($E24,'Total TMA'!$B:$B,'Total TMA'!K:K,0,FALSE)*O24</f>
        <v>0</v>
      </c>
      <c r="R24" s="90">
        <f>_xlfn.XLOOKUP($E24,'Total TMA'!$B:$B,'Total TMA'!L:L,0,FALSE)*O24</f>
        <v>0</v>
      </c>
      <c r="S24" s="90">
        <f>_xlfn.XLOOKUP($E24,'Total TMA'!$B:$B,'Total TMA'!M:M,0,FALSE)*O24</f>
        <v>0</v>
      </c>
      <c r="T24" s="90">
        <f>(S24+R24+Q24+O24)*1.16-I24</f>
        <v>-303050</v>
      </c>
    </row>
    <row r="25" spans="2:20" ht="12.6" customHeight="1" x14ac:dyDescent="0.2">
      <c r="C25" s="91"/>
      <c r="D25" s="92"/>
      <c r="E25" s="93"/>
      <c r="F25" s="93" t="s">
        <v>231</v>
      </c>
      <c r="G25" s="94">
        <f>SUBTOTAL(9,G24:G24)</f>
        <v>303050</v>
      </c>
      <c r="H25" s="94">
        <f>SUBTOTAL(9,H24:H24)</f>
        <v>0</v>
      </c>
      <c r="I25" s="94">
        <f>SUBTOTAL(9,I24:I24)</f>
        <v>303050</v>
      </c>
      <c r="J25" s="95"/>
      <c r="K25" s="73" t="s">
        <v>232</v>
      </c>
      <c r="L25" s="67" t="s">
        <v>233</v>
      </c>
      <c r="N25" s="97">
        <f>SUBTOTAL(9,N24:N24)</f>
        <v>0</v>
      </c>
      <c r="O25" s="97">
        <f>SUBTOTAL(9,O24:O24)</f>
        <v>0</v>
      </c>
      <c r="P25" s="52"/>
    </row>
    <row r="26" spans="2:20" ht="12.6" customHeight="1" x14ac:dyDescent="0.2">
      <c r="C26" s="71" t="s">
        <v>183</v>
      </c>
      <c r="D26" s="64"/>
      <c r="E26" s="64"/>
      <c r="F26" s="64"/>
      <c r="G26" s="65"/>
      <c r="H26" s="65"/>
      <c r="I26" s="65"/>
      <c r="J26" s="72"/>
      <c r="K26" s="73" t="s">
        <v>241</v>
      </c>
      <c r="L26" s="60" t="s">
        <v>227</v>
      </c>
      <c r="N26" s="61"/>
      <c r="O26" s="61"/>
      <c r="P26" s="52"/>
    </row>
    <row r="27" spans="2:20" ht="12.6" customHeight="1" x14ac:dyDescent="0.2">
      <c r="B27" s="45" t="s">
        <v>228</v>
      </c>
      <c r="C27" s="46" t="s">
        <v>213</v>
      </c>
      <c r="D27" s="47" t="s">
        <v>214</v>
      </c>
      <c r="E27" s="47" t="s">
        <v>215</v>
      </c>
      <c r="F27" s="47" t="s">
        <v>216</v>
      </c>
      <c r="G27" s="48" t="s">
        <v>217</v>
      </c>
      <c r="H27" s="48" t="s">
        <v>218</v>
      </c>
      <c r="I27" s="48" t="s">
        <v>219</v>
      </c>
      <c r="J27" s="49" t="s">
        <v>229</v>
      </c>
      <c r="K27" s="96" t="s">
        <v>241</v>
      </c>
      <c r="L27" s="45" t="str">
        <f>J27</f>
        <v>* Fecha Factura</v>
      </c>
      <c r="M27" s="45" t="str">
        <f t="shared" ref="M27:M29" si="12">IF(H27=0,"CXC","CXC USD")</f>
        <v>CXC USD</v>
      </c>
      <c r="N27" s="48" t="s">
        <v>222</v>
      </c>
      <c r="O27" s="48" t="s">
        <v>223</v>
      </c>
      <c r="P27" s="52"/>
    </row>
    <row r="28" spans="2:20" ht="12.6" customHeight="1" x14ac:dyDescent="0.2">
      <c r="B28" s="78" t="str">
        <f>IFERROR(VLOOKUP($E28,'Total TMA'!$B$1:$I$240,8,FALSE),"")</f>
        <v>DIAMANTE</v>
      </c>
      <c r="C28" s="79" t="s">
        <v>386</v>
      </c>
      <c r="D28" s="79" t="s">
        <v>387</v>
      </c>
      <c r="E28" s="79" t="s">
        <v>182</v>
      </c>
      <c r="F28" s="80" t="s">
        <v>388</v>
      </c>
      <c r="G28" s="81">
        <v>322295.55</v>
      </c>
      <c r="H28" s="81">
        <v>0</v>
      </c>
      <c r="I28" s="82">
        <v>322295.55</v>
      </c>
      <c r="J28" s="83">
        <v>45979</v>
      </c>
      <c r="K28" s="84">
        <v>47</v>
      </c>
      <c r="L28" s="85" t="s">
        <v>384</v>
      </c>
      <c r="M28" s="85" t="str">
        <f t="shared" si="12"/>
        <v>CXC</v>
      </c>
      <c r="N28" s="86">
        <f t="shared" ref="N28" si="13">IFERROR($I28/P28,0)</f>
        <v>287763.88392857136</v>
      </c>
      <c r="O28" s="87">
        <f t="shared" ref="O28" si="14">N28/1.16</f>
        <v>248072.31373152704</v>
      </c>
      <c r="P28" s="88">
        <f>_xlfn.XLOOKUP(E28,'Total Doi'!B:B,'Total Doi'!F:F,1.12,FALSE)</f>
        <v>1.1200000000000001</v>
      </c>
      <c r="Q28" s="89"/>
      <c r="R28" s="90"/>
      <c r="S28" s="90"/>
      <c r="T28" s="90">
        <f t="shared" ref="T28" si="15">(S28+R28+Q28+O28)*1.16-I28</f>
        <v>-34531.666071428626</v>
      </c>
    </row>
    <row r="29" spans="2:20" ht="12.6" customHeight="1" x14ac:dyDescent="0.2">
      <c r="B29" s="78" t="str">
        <f>IFERROR(VLOOKUP($E29,'Total TMA'!$B$1:$I$240,8,FALSE),"")</f>
        <v/>
      </c>
      <c r="C29" s="79"/>
      <c r="D29" s="79"/>
      <c r="E29" s="79"/>
      <c r="F29" s="80"/>
      <c r="G29" s="81"/>
      <c r="H29" s="81">
        <v>0</v>
      </c>
      <c r="I29" s="82">
        <f t="shared" ref="I29" si="16">G29+(H29*$K$2)</f>
        <v>0</v>
      </c>
      <c r="J29" s="83"/>
      <c r="K29" s="84">
        <v>0</v>
      </c>
      <c r="L29" s="85">
        <v>0</v>
      </c>
      <c r="M29" s="85" t="str">
        <f t="shared" si="12"/>
        <v>CXC</v>
      </c>
      <c r="N29" s="86">
        <f t="shared" ref="N29" si="17">IFERROR($I29/P29,0)</f>
        <v>0</v>
      </c>
      <c r="O29" s="87">
        <f t="shared" ref="O29" si="18">N29/1.16</f>
        <v>0</v>
      </c>
      <c r="P29" s="88">
        <f>_xlfn.XLOOKUP(E29,'Total Doi'!B:B,'Total Doi'!F:F,1.12,FALSE)</f>
        <v>0</v>
      </c>
      <c r="Q29" s="89"/>
      <c r="R29" s="90"/>
      <c r="S29" s="90"/>
      <c r="T29" s="90"/>
    </row>
    <row r="30" spans="2:20" ht="12.6" customHeight="1" x14ac:dyDescent="0.2">
      <c r="C30" s="91"/>
      <c r="D30" s="92"/>
      <c r="E30" s="93"/>
      <c r="F30" s="93" t="s">
        <v>231</v>
      </c>
      <c r="G30" s="94">
        <f>SUBTOTAL(9,G28:G29)</f>
        <v>322295.55</v>
      </c>
      <c r="H30" s="94">
        <f>SUBTOTAL(9,H28:H29)</f>
        <v>0</v>
      </c>
      <c r="I30" s="94">
        <f>SUBTOTAL(9,I28:I29)</f>
        <v>322295.55</v>
      </c>
      <c r="J30" s="95"/>
      <c r="K30" s="73" t="s">
        <v>241</v>
      </c>
      <c r="L30" s="67" t="s">
        <v>233</v>
      </c>
      <c r="N30" s="97">
        <f>SUBTOTAL(9,N28:N29)</f>
        <v>287763.88392857136</v>
      </c>
      <c r="O30" s="97">
        <f>SUBTOTAL(9,O28:O29)</f>
        <v>248072.31373152704</v>
      </c>
      <c r="P30" s="52"/>
    </row>
    <row r="32" spans="2:20" ht="12.6" customHeight="1" x14ac:dyDescent="0.2">
      <c r="B32" s="102"/>
      <c r="C32" s="103"/>
      <c r="D32" s="103"/>
      <c r="E32" s="104"/>
      <c r="F32" s="104" t="s">
        <v>283</v>
      </c>
      <c r="G32" s="105">
        <f>SUBTOTAL(9,G2:G31)</f>
        <v>4247515.68</v>
      </c>
      <c r="H32" s="105">
        <f>SUBTOTAL(9,H2:H31)</f>
        <v>0</v>
      </c>
      <c r="I32" s="105">
        <f>SUBTOTAL(9,I2:I31)</f>
        <v>4247515.68</v>
      </c>
      <c r="J32" s="106"/>
      <c r="K32" s="106"/>
      <c r="L32" s="106"/>
      <c r="M32" s="106"/>
      <c r="N32" s="105">
        <f>SUBTOTAL(9,N2:N31)</f>
        <v>3560547.3479529452</v>
      </c>
      <c r="O32" s="105">
        <f>SUBTOTAL(9,O2:O31)</f>
        <v>3115348.368924953</v>
      </c>
    </row>
    <row r="35" spans="2:15" ht="12.6" customHeight="1" x14ac:dyDescent="0.2">
      <c r="B35" s="107"/>
      <c r="C35" s="108"/>
      <c r="D35" s="108"/>
      <c r="E35" s="109"/>
      <c r="F35" s="113" t="s">
        <v>4</v>
      </c>
      <c r="G35" s="114">
        <f>SUBTOTAL(9,G2:G33)</f>
        <v>4247515.68</v>
      </c>
      <c r="H35" s="114">
        <f>SUBTOTAL(9,H2:H33)</f>
        <v>0</v>
      </c>
      <c r="I35" s="114">
        <f>SUBTOTAL(9,I2:I33)</f>
        <v>4247515.68</v>
      </c>
      <c r="J35" s="107"/>
      <c r="K35" s="107"/>
      <c r="L35" s="107"/>
      <c r="M35" s="107"/>
      <c r="N35" s="114">
        <f>SUBTOTAL(9,N2:N33)</f>
        <v>3560547.3479529452</v>
      </c>
      <c r="O35" s="114">
        <f>SUBTOTAL(9,O2:O33)</f>
        <v>3115348.368924953</v>
      </c>
    </row>
    <row r="37" spans="2:15" ht="12.6" customHeight="1" x14ac:dyDescent="0.2">
      <c r="F37" s="110" t="s">
        <v>255</v>
      </c>
      <c r="G37" s="94">
        <f>SUBTOTAL(9,G2:G36)</f>
        <v>4247515.68</v>
      </c>
      <c r="H37" s="94">
        <f>SUBTOTAL(9,H2:H36)</f>
        <v>0</v>
      </c>
      <c r="I37" s="94">
        <f>SUBTOTAL(9,I2:I36)</f>
        <v>4247515.68</v>
      </c>
    </row>
    <row r="38" spans="2:15" ht="12.6" customHeight="1" x14ac:dyDescent="0.2">
      <c r="G38" s="115">
        <v>8396825.3351600002</v>
      </c>
      <c r="H38" s="115">
        <v>0</v>
      </c>
      <c r="I38" s="115">
        <v>8396825.3351600002</v>
      </c>
    </row>
    <row r="39" spans="2:15" ht="12.6" customHeight="1" x14ac:dyDescent="0.2">
      <c r="G39" s="61">
        <f>G38-G37</f>
        <v>4149309.6551600005</v>
      </c>
      <c r="H39" s="61">
        <f>H38-H37</f>
        <v>0</v>
      </c>
      <c r="I39" s="61">
        <f>I38-I37</f>
        <v>4149309.6551600005</v>
      </c>
    </row>
    <row r="41" spans="2:15" ht="12.6" customHeight="1" x14ac:dyDescent="0.25">
      <c r="F41" s="155" t="s">
        <v>329</v>
      </c>
      <c r="G41" s="156">
        <f>SUMIF($L$2:$L$34,$F41,G2:G34)</f>
        <v>0</v>
      </c>
      <c r="H41" s="156">
        <f>SUMIF($L$2:$L$34,$F41,H2:H34)</f>
        <v>0</v>
      </c>
      <c r="I41" s="155"/>
    </row>
  </sheetData>
  <autoFilter ref="A2:R29" xr:uid="{0321515D-5120-4D75-9EC8-BB50B9943E87}"/>
  <sortState xmlns:xlrd2="http://schemas.microsoft.com/office/spreadsheetml/2017/richdata2" ref="C20:L20">
    <sortCondition ref="C20"/>
  </sortState>
  <conditionalFormatting sqref="G26:G29 G17:I28 G13:I13 G2:I11">
    <cfRule type="cellIs" dxfId="50" priority="70" operator="lessThan">
      <formula>0</formula>
    </cfRule>
  </conditionalFormatting>
  <conditionalFormatting sqref="G10:G12">
    <cfRule type="cellIs" dxfId="49" priority="250" operator="lessThan">
      <formula>0</formula>
    </cfRule>
  </conditionalFormatting>
  <conditionalFormatting sqref="G14:G16">
    <cfRule type="cellIs" dxfId="48" priority="10" operator="lessThan">
      <formula>0</formula>
    </cfRule>
  </conditionalFormatting>
  <conditionalFormatting sqref="G18:G20">
    <cfRule type="cellIs" dxfId="47" priority="50" operator="lessThan">
      <formula>0</formula>
    </cfRule>
  </conditionalFormatting>
  <conditionalFormatting sqref="G22:G24">
    <cfRule type="cellIs" dxfId="46" priority="220" operator="lessThan">
      <formula>0</formula>
    </cfRule>
  </conditionalFormatting>
  <conditionalFormatting sqref="G24">
    <cfRule type="cellIs" dxfId="45" priority="277" operator="lessThan">
      <formula>0</formula>
    </cfRule>
  </conditionalFormatting>
  <conditionalFormatting sqref="G32">
    <cfRule type="cellIs" dxfId="44" priority="183" operator="lessThan">
      <formula>0</formula>
    </cfRule>
  </conditionalFormatting>
  <conditionalFormatting sqref="G12:H12">
    <cfRule type="cellIs" dxfId="43" priority="255" operator="lessThan">
      <formula>0</formula>
    </cfRule>
  </conditionalFormatting>
  <conditionalFormatting sqref="G16:H16">
    <cfRule type="cellIs" dxfId="42" priority="15" operator="lessThan">
      <formula>0</formula>
    </cfRule>
  </conditionalFormatting>
  <conditionalFormatting sqref="G17:I28 G13:I15 G2:I11">
    <cfRule type="cellIs" dxfId="41" priority="69" operator="lessThan">
      <formula>0</formula>
    </cfRule>
  </conditionalFormatting>
  <conditionalFormatting sqref="G13:I15">
    <cfRule type="cellIs" dxfId="40" priority="8" operator="lessThan">
      <formula>0</formula>
    </cfRule>
  </conditionalFormatting>
  <conditionalFormatting sqref="G17:I17">
    <cfRule type="cellIs" dxfId="39" priority="4" operator="lessThan">
      <formula>0</formula>
    </cfRule>
  </conditionalFormatting>
  <conditionalFormatting sqref="G21:I21">
    <cfRule type="cellIs" dxfId="38" priority="229" operator="lessThan">
      <formula>0</formula>
    </cfRule>
  </conditionalFormatting>
  <conditionalFormatting sqref="G24:I24 H12 G29:I29">
    <cfRule type="cellIs" dxfId="37" priority="276" operator="lessThan">
      <formula>0</formula>
    </cfRule>
  </conditionalFormatting>
  <conditionalFormatting sqref="G24:I24">
    <cfRule type="cellIs" dxfId="36" priority="275" operator="lessThan">
      <formula>0</formula>
    </cfRule>
  </conditionalFormatting>
  <conditionalFormatting sqref="G29:I30">
    <cfRule type="cellIs" dxfId="35" priority="202" operator="lessThan">
      <formula>0</formula>
    </cfRule>
  </conditionalFormatting>
  <conditionalFormatting sqref="G30:I30">
    <cfRule type="cellIs" dxfId="34" priority="199" operator="lessThan">
      <formula>0</formula>
    </cfRule>
    <cfRule type="cellIs" dxfId="33" priority="201" operator="lessThan">
      <formula>0</formula>
    </cfRule>
  </conditionalFormatting>
  <conditionalFormatting sqref="G32:I32">
    <cfRule type="cellIs" dxfId="32" priority="181" operator="lessThan">
      <formula>0</formula>
    </cfRule>
    <cfRule type="cellIs" dxfId="31" priority="182" operator="lessThan">
      <formula>0</formula>
    </cfRule>
  </conditionalFormatting>
  <conditionalFormatting sqref="G35:I35">
    <cfRule type="cellIs" dxfId="30" priority="175" operator="lessThan">
      <formula>0</formula>
    </cfRule>
  </conditionalFormatting>
  <conditionalFormatting sqref="G37:I37">
    <cfRule type="cellIs" dxfId="29" priority="176" operator="lessThan">
      <formula>0</formula>
    </cfRule>
    <cfRule type="cellIs" dxfId="28" priority="177" operator="lessThan">
      <formula>0</formula>
    </cfRule>
    <cfRule type="cellIs" dxfId="27" priority="178" operator="lessThan">
      <formula>0</formula>
    </cfRule>
  </conditionalFormatting>
  <conditionalFormatting sqref="H16">
    <cfRule type="cellIs" dxfId="26" priority="17" operator="lessThan">
      <formula>0</formula>
    </cfRule>
  </conditionalFormatting>
  <conditionalFormatting sqref="I12 G12">
    <cfRule type="cellIs" dxfId="25" priority="254" operator="lessThan">
      <formula>0</formula>
    </cfRule>
  </conditionalFormatting>
  <conditionalFormatting sqref="I12">
    <cfRule type="cellIs" dxfId="24" priority="253" operator="lessThan">
      <formula>0</formula>
    </cfRule>
  </conditionalFormatting>
  <conditionalFormatting sqref="I16 G16">
    <cfRule type="cellIs" dxfId="23" priority="14" operator="lessThan">
      <formula>0</formula>
    </cfRule>
  </conditionalFormatting>
  <conditionalFormatting sqref="I16">
    <cfRule type="cellIs" dxfId="22" priority="13" operator="lessThan">
      <formula>0</formula>
    </cfRule>
  </conditionalFormatting>
  <conditionalFormatting sqref="I20">
    <cfRule type="cellIs" dxfId="21" priority="25" operator="lessThan">
      <formula>0</formula>
    </cfRule>
  </conditionalFormatting>
  <conditionalFormatting sqref="I35">
    <cfRule type="cellIs" dxfId="20" priority="173" operator="lessThan">
      <formula>0</formula>
    </cfRule>
    <cfRule type="cellIs" dxfId="19" priority="174" operator="lessThan">
      <formula>0</formula>
    </cfRule>
  </conditionalFormatting>
  <conditionalFormatting sqref="J4">
    <cfRule type="cellIs" dxfId="18" priority="63" operator="lessThan">
      <formula>0</formula>
    </cfRule>
    <cfRule type="cellIs" dxfId="17" priority="64" operator="lessThan">
      <formula>0</formula>
    </cfRule>
  </conditionalFormatting>
  <conditionalFormatting sqref="M2:O2">
    <cfRule type="cellIs" dxfId="16" priority="271" operator="lessThan">
      <formula>0</formula>
    </cfRule>
    <cfRule type="cellIs" dxfId="15" priority="272" operator="lessThan">
      <formula>0</formula>
    </cfRule>
  </conditionalFormatting>
  <conditionalFormatting sqref="N7:O7">
    <cfRule type="cellIs" dxfId="14" priority="269" operator="lessThan">
      <formula>0</formula>
    </cfRule>
    <cfRule type="cellIs" dxfId="13" priority="270" operator="lessThan">
      <formula>0</formula>
    </cfRule>
  </conditionalFormatting>
  <conditionalFormatting sqref="N11:O11">
    <cfRule type="cellIs" dxfId="12" priority="251" operator="lessThan">
      <formula>0</formula>
    </cfRule>
    <cfRule type="cellIs" dxfId="11" priority="252" operator="lessThan">
      <formula>0</formula>
    </cfRule>
  </conditionalFormatting>
  <conditionalFormatting sqref="N15:O15">
    <cfRule type="cellIs" dxfId="10" priority="11" operator="lessThan">
      <formula>0</formula>
    </cfRule>
    <cfRule type="cellIs" dxfId="9" priority="12" operator="lessThan">
      <formula>0</formula>
    </cfRule>
  </conditionalFormatting>
  <conditionalFormatting sqref="N19:O19">
    <cfRule type="cellIs" dxfId="8" priority="236" operator="lessThan">
      <formula>0</formula>
    </cfRule>
    <cfRule type="cellIs" dxfId="7" priority="237" operator="lessThan">
      <formula>0</formula>
    </cfRule>
  </conditionalFormatting>
  <conditionalFormatting sqref="N23:O24">
    <cfRule type="cellIs" dxfId="6" priority="221" operator="lessThan">
      <formula>0</formula>
    </cfRule>
    <cfRule type="cellIs" dxfId="5" priority="222" operator="lessThan">
      <formula>0</formula>
    </cfRule>
  </conditionalFormatting>
  <conditionalFormatting sqref="N27:O27">
    <cfRule type="cellIs" dxfId="4" priority="206" operator="lessThan">
      <formula>0</formula>
    </cfRule>
    <cfRule type="cellIs" dxfId="3" priority="207" operator="lessThan">
      <formula>0</formula>
    </cfRule>
  </conditionalFormatting>
  <conditionalFormatting sqref="N32:O32">
    <cfRule type="cellIs" dxfId="2" priority="179" operator="lessThan">
      <formula>0</formula>
    </cfRule>
    <cfRule type="cellIs" dxfId="1" priority="180" operator="lessThan">
      <formula>0</formula>
    </cfRule>
  </conditionalFormatting>
  <conditionalFormatting sqref="N35:O35">
    <cfRule type="cellIs" dxfId="0" priority="172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Total Doi</vt:lpstr>
      <vt:lpstr>Total Maga</vt:lpstr>
      <vt:lpstr>Total TMA</vt:lpstr>
      <vt:lpstr>DOI</vt:lpstr>
      <vt:lpstr>DIM</vt:lpstr>
      <vt:lpstr>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</dc:creator>
  <cp:lastModifiedBy>Norma</cp:lastModifiedBy>
  <cp:lastPrinted>2025-06-09T19:16:59Z</cp:lastPrinted>
  <dcterms:created xsi:type="dcterms:W3CDTF">2025-03-10T20:21:16Z</dcterms:created>
  <dcterms:modified xsi:type="dcterms:W3CDTF">2026-01-08T19:11:39Z</dcterms:modified>
</cp:coreProperties>
</file>